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charts/chart17.xml" ContentType="application/vnd.openxmlformats-officedocument.drawingml.chart+xml"/>
  <Override PartName="/xl/drawings/drawing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16.xml" ContentType="application/vnd.openxmlformats-officedocument.themeOverride+xml"/>
  <Override PartName="/xl/charts/chart21.xml" ContentType="application/vnd.openxmlformats-officedocument.drawingml.chart+xml"/>
  <Override PartName="/xl/theme/themeOverride17.xml" ContentType="application/vnd.openxmlformats-officedocument.themeOverride+xml"/>
  <Override PartName="/xl/charts/chart22.xml" ContentType="application/vnd.openxmlformats-officedocument.drawingml.chart+xml"/>
  <Override PartName="/xl/theme/themeOverride18.xml" ContentType="application/vnd.openxmlformats-officedocument.themeOverride+xml"/>
  <Override PartName="/xl/drawings/drawing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style1.xml" ContentType="application/vnd.ms-office.chartstyle+xml"/>
  <Override PartName="/xl/charts/colors1.xml" ContentType="application/vnd.ms-office.chartcolorstyle+xml"/>
  <Override PartName="/xl/charts/style2.xml" ContentType="application/vnd.ms-office.chartstyle+xml"/>
  <Override PartName="/xl/charts/colors2.xml" ContentType="application/vnd.ms-office.chartcolorstyle+xml"/>
  <Override PartName="/xl/charts/style3.xml" ContentType="application/vnd.ms-office.chartstyle+xml"/>
  <Override PartName="/xl/charts/colors3.xml" ContentType="application/vnd.ms-office.chartcolorstyle+xml"/>
  <Override PartName="/xl/charts/style4.xml" ContentType="application/vnd.ms-office.chartstyle+xml"/>
  <Override PartName="/xl/charts/colors4.xml" ContentType="application/vnd.ms-office.chartcolorstyle+xml"/>
  <Override PartName="/xl/charts/style5.xml" ContentType="application/vnd.ms-office.chartstyle+xml"/>
  <Override PartName="/xl/charts/colors5.xml" ContentType="application/vnd.ms-office.chartcolorstyle+xml"/>
  <Override PartName="/xl/charts/style6.xml" ContentType="application/vnd.ms-office.chartstyle+xml"/>
  <Override PartName="/xl/charts/colors6.xml" ContentType="application/vnd.ms-office.chartcolorstyle+xml"/>
  <Override PartName="/xl/charts/style7.xml" ContentType="application/vnd.ms-office.chartstyle+xml"/>
  <Override PartName="/xl/charts/colors7.xml" ContentType="application/vnd.ms-office.chartcolorstyle+xml"/>
  <Override PartName="/xl/charts/style8.xml" ContentType="application/vnd.ms-office.chartstyle+xml"/>
  <Override PartName="/xl/charts/colors8.xml" ContentType="application/vnd.ms-office.chartcolorstyle+xml"/>
  <Override PartName="/xl/charts/style9.xml" ContentType="application/vnd.ms-office.chartstyle+xml"/>
  <Override PartName="/xl/charts/colors9.xml" ContentType="application/vnd.ms-office.chartcolorstyle+xml"/>
  <Override PartName="/xl/charts/style10.xml" ContentType="application/vnd.ms-office.chartstyle+xml"/>
  <Override PartName="/xl/charts/colors10.xml" ContentType="application/vnd.ms-office.chartcolorstyle+xml"/>
  <Override PartName="/xl/charts/style11.xml" ContentType="application/vnd.ms-office.chartstyle+xml"/>
  <Override PartName="/xl/charts/colors11.xml" ContentType="application/vnd.ms-office.chartcolorstyle+xml"/>
  <Override PartName="/xl/charts/style12.xml" ContentType="application/vnd.ms-office.chartstyle+xml"/>
  <Override PartName="/xl/charts/colors12.xml" ContentType="application/vnd.ms-office.chartcolorstyle+xml"/>
  <Override PartName="/xl/charts/style13.xml" ContentType="application/vnd.ms-office.chartstyle+xml"/>
  <Override PartName="/xl/charts/colors13.xml" ContentType="application/vnd.ms-office.chartcolorstyle+xml"/>
  <Override PartName="/xl/charts/style14.xml" ContentType="application/vnd.ms-office.chartstyle+xml"/>
  <Override PartName="/xl/charts/colors14.xml" ContentType="application/vnd.ms-office.chartcolorstyle+xml"/>
  <Override PartName="/xl/charts/style15.xml" ContentType="application/vnd.ms-office.chartstyle+xml"/>
  <Override PartName="/xl/charts/colors15.xml" ContentType="application/vnd.ms-office.chartcolor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style20.xml" ContentType="application/vnd.ms-office.chartstyle+xml"/>
  <Override PartName="/xl/charts/colors20.xml" ContentType="application/vnd.ms-office.chartcolorstyle+xml"/>
  <Override PartName="/xl/charts/style21.xml" ContentType="application/vnd.ms-office.chartstyle+xml"/>
  <Override PartName="/xl/charts/colors21.xml" ContentType="application/vnd.ms-office.chartcolorstyle+xml"/>
  <Override PartName="/xl/charts/style22.xml" ContentType="application/vnd.ms-office.chartstyle+xml"/>
  <Override PartName="/xl/charts/colors22.xml" ContentType="application/vnd.ms-office.chartcolor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style25.xml" ContentType="application/vnd.ms-office.chartstyle+xml"/>
  <Override PartName="/xl/charts/colors25.xml" ContentType="application/vnd.ms-office.chartcolorstyle+xml"/>
  <Override PartName="/xl/charts/style26.xml" ContentType="application/vnd.ms-office.chartstyle+xml"/>
  <Override PartName="/xl/charts/colors26.xml" ContentType="application/vnd.ms-office.chartcolorstyle+xml"/>
  <Override PartName="/xl/charts/style27.xml" ContentType="application/vnd.ms-office.chartstyle+xml"/>
  <Override PartName="/xl/charts/colors27.xml" ContentType="application/vnd.ms-office.chartcolor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workbookProtection workbookPassword="E16B" lockStructure="1"/>
  <bookViews>
    <workbookView xWindow="0" yWindow="0" windowWidth="20490" windowHeight="7755" tabRatio="791" firstSheet="1" activeTab="1"/>
  </bookViews>
  <sheets>
    <sheet name="DATOS°" sheetId="22" state="hidden" r:id="rId1"/>
    <sheet name="RT03-F11° " sheetId="30" r:id="rId2"/>
    <sheet name="CALIBRACION DESPUES DE AJUSTE°" sheetId="31" state="hidden" r:id="rId3"/>
    <sheet name="VERIFICACIÓN DE LA ESCALA°" sheetId="18" state="hidden" r:id="rId4"/>
    <sheet name="RT03-F14°" sheetId="26" state="hidden" r:id="rId5"/>
    <sheet name="RT03-F38. " sheetId="32" state="hidden" r:id="rId6"/>
  </sheets>
  <definedNames>
    <definedName name="_xlnm.Print_Area" localSheetId="2">'CALIBRACION DESPUES DE AJUSTE°'!$A$1:$Y$125</definedName>
    <definedName name="_xlnm.Print_Area" localSheetId="1">'RT03-F11° '!$A$1:$Y$125</definedName>
    <definedName name="_xlnm.Print_Area" localSheetId="4">'RT03-F14°'!$A$1:$K$186</definedName>
    <definedName name="_xlnm.Print_Area" localSheetId="5">'RT03-F38. '!$A$2:$K$171</definedName>
    <definedName name="_xlnm.Print_Area" localSheetId="3">'VERIFICACIÓN DE LA ESCALA°'!$A$1:$W$61</definedName>
    <definedName name="Print_Area" localSheetId="4">'RT03-F14°'!$A$1:$L$181</definedName>
    <definedName name="Print_Area" localSheetId="5">'RT03-F38. '!$A$2:$L$166</definedName>
    <definedName name="Print_Area" localSheetId="3">'VERIFICACIÓN DE LA ESCALA°'!$A$1:$V$60</definedName>
    <definedName name="Print_Titles" localSheetId="3">'VERIFICACIÓN DE LA ESCALA°'!$1:$1</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20" i="26" l="1"/>
  <c r="I13" i="26" l="1"/>
  <c r="E100" i="26" l="1"/>
  <c r="G116" i="30"/>
  <c r="G116" i="31" l="1"/>
  <c r="G117" i="30"/>
  <c r="G44" i="30" l="1"/>
  <c r="G45" i="30"/>
  <c r="E97" i="32" l="1"/>
  <c r="G100" i="26"/>
  <c r="F168" i="32" l="1"/>
  <c r="B168" i="32"/>
  <c r="F167" i="32"/>
  <c r="B167" i="32"/>
  <c r="C139" i="32"/>
  <c r="C105" i="32"/>
  <c r="C112" i="32" s="1"/>
  <c r="C104" i="32"/>
  <c r="C111" i="32" s="1"/>
  <c r="C103" i="32"/>
  <c r="C110" i="32" s="1"/>
  <c r="I97" i="32"/>
  <c r="G97" i="32"/>
  <c r="D97" i="32"/>
  <c r="I96" i="32"/>
  <c r="G96" i="32"/>
  <c r="D96" i="32"/>
  <c r="I95" i="32"/>
  <c r="G95" i="32"/>
  <c r="D95" i="32"/>
  <c r="I94" i="32"/>
  <c r="G94" i="32"/>
  <c r="D94" i="32"/>
  <c r="E34" i="32"/>
  <c r="A31" i="32"/>
  <c r="E25" i="32"/>
  <c r="E21" i="32"/>
  <c r="E20" i="32"/>
  <c r="E19" i="32"/>
  <c r="H14" i="32"/>
  <c r="D12" i="32"/>
  <c r="D11" i="32"/>
  <c r="D10" i="32"/>
  <c r="D44" i="30" l="1"/>
  <c r="D45" i="31"/>
  <c r="D44" i="31"/>
  <c r="G117" i="31" l="1"/>
  <c r="Q116" i="31"/>
  <c r="G115" i="31"/>
  <c r="G114" i="31"/>
  <c r="H111" i="31"/>
  <c r="G111" i="31"/>
  <c r="E111" i="31"/>
  <c r="G110" i="31"/>
  <c r="G109" i="31"/>
  <c r="G108" i="31"/>
  <c r="G106" i="31"/>
  <c r="F106" i="31"/>
  <c r="G105" i="31"/>
  <c r="F105" i="31"/>
  <c r="F104" i="31"/>
  <c r="G103" i="31"/>
  <c r="F103" i="31"/>
  <c r="F102" i="31"/>
  <c r="E102" i="31"/>
  <c r="G101" i="31"/>
  <c r="F101" i="31"/>
  <c r="G100" i="31"/>
  <c r="F100" i="31"/>
  <c r="F99" i="31"/>
  <c r="G98" i="31"/>
  <c r="F95" i="31"/>
  <c r="I95" i="31" s="1"/>
  <c r="G94" i="31"/>
  <c r="F94" i="31"/>
  <c r="I94" i="31" s="1"/>
  <c r="F93" i="31"/>
  <c r="I93" i="31" s="1"/>
  <c r="K90" i="31"/>
  <c r="I90" i="31"/>
  <c r="G90" i="31"/>
  <c r="K89" i="31"/>
  <c r="M46" i="31"/>
  <c r="J46" i="31"/>
  <c r="G46" i="31"/>
  <c r="D46" i="31"/>
  <c r="E101" i="31" s="1"/>
  <c r="H101" i="31" s="1"/>
  <c r="M45" i="31"/>
  <c r="J45" i="31"/>
  <c r="K56" i="31" s="1"/>
  <c r="G45" i="31"/>
  <c r="M44" i="31"/>
  <c r="J44" i="31"/>
  <c r="E106" i="31" s="1"/>
  <c r="H106" i="31" s="1"/>
  <c r="G44" i="31"/>
  <c r="O39" i="31"/>
  <c r="P39" i="31" s="1"/>
  <c r="D39" i="31"/>
  <c r="P38" i="31"/>
  <c r="O38" i="31"/>
  <c r="P37" i="31"/>
  <c r="O37" i="31"/>
  <c r="D36" i="31"/>
  <c r="J95" i="31" s="1"/>
  <c r="F35" i="31"/>
  <c r="D35" i="31"/>
  <c r="D34" i="31"/>
  <c r="D33" i="31"/>
  <c r="D32" i="31"/>
  <c r="D31" i="31"/>
  <c r="F30" i="31"/>
  <c r="D30" i="31"/>
  <c r="F29" i="31"/>
  <c r="P80" i="31" s="1"/>
  <c r="D29" i="31"/>
  <c r="O72" i="31" s="1"/>
  <c r="F28" i="31"/>
  <c r="D28" i="31"/>
  <c r="F27" i="31"/>
  <c r="D27" i="31"/>
  <c r="F26" i="31"/>
  <c r="D26" i="31"/>
  <c r="P22" i="31"/>
  <c r="O22" i="31"/>
  <c r="I22" i="31"/>
  <c r="K22" i="31" s="1"/>
  <c r="M22" i="31" s="1"/>
  <c r="G22" i="31"/>
  <c r="E22" i="31"/>
  <c r="C22" i="31"/>
  <c r="B22" i="31"/>
  <c r="P21" i="31"/>
  <c r="O21" i="31"/>
  <c r="I21" i="31"/>
  <c r="G21" i="31"/>
  <c r="E21" i="31"/>
  <c r="C21" i="31"/>
  <c r="B21" i="31"/>
  <c r="R20" i="31"/>
  <c r="Q20" i="31"/>
  <c r="R19" i="31"/>
  <c r="Q19" i="31"/>
  <c r="P19" i="31"/>
  <c r="O19" i="31"/>
  <c r="I19" i="31"/>
  <c r="G19" i="31"/>
  <c r="E19" i="31"/>
  <c r="C19" i="31"/>
  <c r="B19" i="31"/>
  <c r="P18" i="31"/>
  <c r="O18" i="31"/>
  <c r="G93" i="31" s="1"/>
  <c r="I18" i="31"/>
  <c r="E93" i="31" s="1"/>
  <c r="G18" i="31"/>
  <c r="E18" i="31"/>
  <c r="E94" i="31" s="1"/>
  <c r="H94" i="31" s="1"/>
  <c r="C18" i="31"/>
  <c r="D92" i="31" s="1"/>
  <c r="B18" i="31"/>
  <c r="P17" i="31"/>
  <c r="O17" i="31"/>
  <c r="I17" i="31"/>
  <c r="K17" i="31" s="1"/>
  <c r="M17" i="31" s="1"/>
  <c r="G17" i="31"/>
  <c r="E17" i="31"/>
  <c r="C17" i="31"/>
  <c r="B17" i="31"/>
  <c r="P16" i="31"/>
  <c r="O16" i="31"/>
  <c r="I16" i="31"/>
  <c r="G16" i="31"/>
  <c r="E16" i="31"/>
  <c r="C16" i="31"/>
  <c r="B16" i="31"/>
  <c r="P15" i="31"/>
  <c r="O15" i="31"/>
  <c r="I15" i="31"/>
  <c r="G15" i="31"/>
  <c r="E15" i="31"/>
  <c r="C15" i="31"/>
  <c r="B15" i="31"/>
  <c r="P14" i="31"/>
  <c r="O14" i="31"/>
  <c r="G104" i="31" s="1"/>
  <c r="I14" i="31"/>
  <c r="K14" i="31" s="1"/>
  <c r="M14" i="31" s="1"/>
  <c r="G14" i="31"/>
  <c r="E14" i="31"/>
  <c r="E103" i="31" s="1"/>
  <c r="H103" i="31" s="1"/>
  <c r="C14" i="31"/>
  <c r="B14" i="31"/>
  <c r="P13" i="31"/>
  <c r="O13" i="31"/>
  <c r="I13" i="31"/>
  <c r="K13" i="31" s="1"/>
  <c r="M13" i="31" s="1"/>
  <c r="G13" i="31"/>
  <c r="E13" i="31"/>
  <c r="C13" i="31"/>
  <c r="B13" i="31"/>
  <c r="P12" i="31"/>
  <c r="O12" i="31"/>
  <c r="I12" i="31"/>
  <c r="G12" i="31"/>
  <c r="E12" i="31"/>
  <c r="C12" i="31"/>
  <c r="B12" i="31"/>
  <c r="P11" i="31"/>
  <c r="O11" i="31"/>
  <c r="I11" i="31"/>
  <c r="G11" i="31"/>
  <c r="E11" i="31"/>
  <c r="C11" i="31"/>
  <c r="B11" i="31"/>
  <c r="P10" i="31"/>
  <c r="O10" i="31"/>
  <c r="I10" i="31"/>
  <c r="K10" i="31" s="1"/>
  <c r="M10" i="31" s="1"/>
  <c r="G10" i="31"/>
  <c r="E10" i="31"/>
  <c r="D98" i="31" s="1"/>
  <c r="C10" i="31"/>
  <c r="B10" i="31"/>
  <c r="P9" i="31"/>
  <c r="O9" i="31"/>
  <c r="G99" i="31" s="1"/>
  <c r="I9" i="31"/>
  <c r="K9" i="31" s="1"/>
  <c r="G9" i="31"/>
  <c r="E9" i="31"/>
  <c r="E98" i="31" s="1"/>
  <c r="H98" i="31" s="1"/>
  <c r="C9" i="31"/>
  <c r="B9" i="31"/>
  <c r="P8" i="31"/>
  <c r="O8" i="31"/>
  <c r="I8" i="31"/>
  <c r="G8" i="31"/>
  <c r="E8" i="31"/>
  <c r="C8" i="31"/>
  <c r="B8" i="31"/>
  <c r="P7" i="31"/>
  <c r="O7" i="31"/>
  <c r="G89" i="31" s="1"/>
  <c r="I7" i="31"/>
  <c r="G7" i="31"/>
  <c r="E7" i="31"/>
  <c r="C7" i="31"/>
  <c r="O66" i="31" s="1"/>
  <c r="B7" i="31"/>
  <c r="P3" i="31"/>
  <c r="M3" i="31"/>
  <c r="J3" i="31"/>
  <c r="G3" i="31"/>
  <c r="D3" i="31"/>
  <c r="B3" i="31"/>
  <c r="I8" i="30"/>
  <c r="K8" i="30" s="1"/>
  <c r="U31" i="22"/>
  <c r="U30" i="22"/>
  <c r="V30" i="22"/>
  <c r="C148" i="26"/>
  <c r="E114" i="31" l="1"/>
  <c r="H114" i="31" s="1"/>
  <c r="L114" i="31" s="1"/>
  <c r="N114" i="31" s="1"/>
  <c r="E109" i="31"/>
  <c r="H109" i="31" s="1"/>
  <c r="K18" i="31"/>
  <c r="G95" i="31" s="1"/>
  <c r="F36" i="31"/>
  <c r="K21" i="31"/>
  <c r="M21" i="31" s="1"/>
  <c r="K16" i="31"/>
  <c r="M16" i="31" s="1"/>
  <c r="D88" i="31"/>
  <c r="K57" i="31"/>
  <c r="E117" i="31"/>
  <c r="H117" i="31" s="1"/>
  <c r="L117" i="31" s="1"/>
  <c r="N117" i="31" s="1"/>
  <c r="E100" i="31"/>
  <c r="H100" i="31" s="1"/>
  <c r="M9" i="31"/>
  <c r="H93" i="31"/>
  <c r="K7" i="31"/>
  <c r="E90" i="31" s="1"/>
  <c r="H90" i="31" s="1"/>
  <c r="K11" i="31"/>
  <c r="M11" i="31" s="1"/>
  <c r="K15" i="31"/>
  <c r="E105" i="31" s="1"/>
  <c r="H105" i="31" s="1"/>
  <c r="M18" i="31"/>
  <c r="K19" i="31"/>
  <c r="M19" i="31" s="1"/>
  <c r="O30" i="31"/>
  <c r="E89" i="31"/>
  <c r="H89" i="31" s="1"/>
  <c r="E95" i="31"/>
  <c r="H95" i="31" s="1"/>
  <c r="L95" i="31" s="1"/>
  <c r="N95" i="31" s="1"/>
  <c r="E99" i="31"/>
  <c r="H99" i="31" s="1"/>
  <c r="D103" i="31"/>
  <c r="E104" i="31"/>
  <c r="H104" i="31" s="1"/>
  <c r="J111" i="31"/>
  <c r="L111" i="31" s="1"/>
  <c r="N111" i="31" s="1"/>
  <c r="K8" i="31"/>
  <c r="M8" i="31" s="1"/>
  <c r="K12" i="31"/>
  <c r="M12" i="31" s="1"/>
  <c r="D47" i="31"/>
  <c r="O74" i="31"/>
  <c r="J93" i="31"/>
  <c r="J94" i="31"/>
  <c r="L94" i="31" s="1"/>
  <c r="N94" i="31" s="1"/>
  <c r="J47" i="31"/>
  <c r="K55" i="31"/>
  <c r="K58" i="31" s="1"/>
  <c r="D37" i="31" s="1"/>
  <c r="E108" i="31" s="1"/>
  <c r="L93" i="31" l="1"/>
  <c r="N93" i="31" s="1"/>
  <c r="M7" i="31"/>
  <c r="M15" i="31"/>
  <c r="E107" i="31"/>
  <c r="D107" i="31"/>
  <c r="F37" i="31"/>
  <c r="P78" i="31" s="1"/>
  <c r="H108" i="31"/>
  <c r="O78" i="31"/>
  <c r="D102" i="31"/>
  <c r="P70" i="31"/>
  <c r="E97" i="31"/>
  <c r="D97" i="31"/>
  <c r="O68" i="31"/>
  <c r="K72" i="31" s="1"/>
  <c r="J109" i="31" s="1"/>
  <c r="L109" i="31" s="1"/>
  <c r="N109" i="31" s="1"/>
  <c r="O31" i="31"/>
  <c r="O29" i="31"/>
  <c r="O27" i="31"/>
  <c r="O28" i="31"/>
  <c r="K76" i="31" l="1"/>
  <c r="J108" i="31" s="1"/>
  <c r="L108" i="31" s="1"/>
  <c r="N108" i="31" s="1"/>
  <c r="K74" i="31"/>
  <c r="J110" i="31" s="1"/>
  <c r="K68" i="31"/>
  <c r="J101" i="31" l="1"/>
  <c r="L101" i="31" s="1"/>
  <c r="N101" i="31" s="1"/>
  <c r="J98" i="31"/>
  <c r="L98" i="31" s="1"/>
  <c r="N98" i="31" s="1"/>
  <c r="J100" i="31"/>
  <c r="L100" i="31" s="1"/>
  <c r="N100" i="31" s="1"/>
  <c r="J99" i="31"/>
  <c r="L99" i="31" s="1"/>
  <c r="N99" i="31" s="1"/>
  <c r="B3" i="30" l="1"/>
  <c r="O7" i="30"/>
  <c r="T152" i="22" l="1"/>
  <c r="H32" i="22" l="1"/>
  <c r="H31" i="22"/>
  <c r="G7" i="30" s="1"/>
  <c r="S116" i="22"/>
  <c r="S115" i="22"/>
  <c r="F31" i="31" l="1"/>
  <c r="C108" i="26"/>
  <c r="C107" i="26"/>
  <c r="C106" i="26"/>
  <c r="Q116" i="30" l="1"/>
  <c r="G115" i="30"/>
  <c r="G114" i="30"/>
  <c r="G111" i="30"/>
  <c r="E111" i="30"/>
  <c r="H111" i="30" s="1"/>
  <c r="G110" i="30"/>
  <c r="G109" i="30"/>
  <c r="G108" i="30"/>
  <c r="G106" i="30"/>
  <c r="F106" i="30"/>
  <c r="G105" i="30"/>
  <c r="F105" i="30"/>
  <c r="F104" i="30"/>
  <c r="G103" i="30"/>
  <c r="F103" i="30"/>
  <c r="F102" i="30"/>
  <c r="E102" i="30"/>
  <c r="G101" i="30"/>
  <c r="F101" i="30"/>
  <c r="G100" i="30"/>
  <c r="F100" i="30"/>
  <c r="F99" i="30"/>
  <c r="G98" i="30"/>
  <c r="F95" i="30"/>
  <c r="I95" i="30" s="1"/>
  <c r="G94" i="30"/>
  <c r="F94" i="30"/>
  <c r="I94" i="30" s="1"/>
  <c r="F93" i="30"/>
  <c r="I93" i="30" s="1"/>
  <c r="I90" i="30"/>
  <c r="G90" i="30"/>
  <c r="M46" i="30"/>
  <c r="J46" i="30"/>
  <c r="G46" i="30"/>
  <c r="D46" i="30"/>
  <c r="M45" i="30"/>
  <c r="J45" i="30"/>
  <c r="D45" i="30"/>
  <c r="M44" i="30"/>
  <c r="J44" i="30"/>
  <c r="O39" i="30"/>
  <c r="D39" i="30"/>
  <c r="O38" i="30"/>
  <c r="O37" i="30"/>
  <c r="D36" i="30"/>
  <c r="J111" i="30" s="1"/>
  <c r="F35" i="30"/>
  <c r="D35" i="30"/>
  <c r="D34" i="30"/>
  <c r="D33" i="30"/>
  <c r="E109" i="30" s="1"/>
  <c r="D32" i="30"/>
  <c r="D31" i="30"/>
  <c r="F30" i="30"/>
  <c r="D30" i="30"/>
  <c r="F29" i="30"/>
  <c r="A103" i="32" s="1"/>
  <c r="A110" i="32" s="1"/>
  <c r="D29" i="30"/>
  <c r="O72" i="30" s="1"/>
  <c r="F28" i="30"/>
  <c r="D28" i="30"/>
  <c r="F27" i="30"/>
  <c r="D27" i="30"/>
  <c r="F26" i="30"/>
  <c r="D26" i="30"/>
  <c r="P22" i="30"/>
  <c r="O22" i="30"/>
  <c r="I22" i="30"/>
  <c r="G22" i="30"/>
  <c r="E22" i="30"/>
  <c r="C22" i="30"/>
  <c r="B22" i="30"/>
  <c r="P21" i="30"/>
  <c r="O21" i="30"/>
  <c r="I21" i="30"/>
  <c r="G21" i="30"/>
  <c r="E21" i="30"/>
  <c r="C21" i="30"/>
  <c r="B21" i="30"/>
  <c r="R20" i="30"/>
  <c r="O21" i="18" s="1"/>
  <c r="Q20" i="30"/>
  <c r="R19" i="30"/>
  <c r="O20" i="18" s="1"/>
  <c r="Q19" i="30"/>
  <c r="N20" i="18" s="1"/>
  <c r="P19" i="30"/>
  <c r="O19" i="30"/>
  <c r="G8" i="18" s="1"/>
  <c r="I19" i="30"/>
  <c r="G19" i="30"/>
  <c r="E8" i="18" s="1"/>
  <c r="E19" i="30"/>
  <c r="D8" i="18" s="1"/>
  <c r="C19" i="30"/>
  <c r="C8" i="18" s="1"/>
  <c r="B19" i="30"/>
  <c r="A8" i="18" s="1"/>
  <c r="P18" i="30"/>
  <c r="O18" i="30"/>
  <c r="G93" i="30" s="1"/>
  <c r="I18" i="30"/>
  <c r="G18" i="30"/>
  <c r="E18" i="30"/>
  <c r="E94" i="30" s="1"/>
  <c r="H94" i="30" s="1"/>
  <c r="C18" i="30"/>
  <c r="D92" i="30" s="1"/>
  <c r="B18" i="30"/>
  <c r="P17" i="30"/>
  <c r="O17" i="30"/>
  <c r="I17" i="30"/>
  <c r="K17" i="30" s="1"/>
  <c r="G17" i="30"/>
  <c r="E17" i="30"/>
  <c r="C17" i="30"/>
  <c r="B17" i="30"/>
  <c r="P16" i="30"/>
  <c r="O16" i="30"/>
  <c r="I16" i="30"/>
  <c r="K16" i="30" s="1"/>
  <c r="G16" i="30"/>
  <c r="E16" i="30"/>
  <c r="C16" i="30"/>
  <c r="B16" i="30"/>
  <c r="P15" i="30"/>
  <c r="O15" i="30"/>
  <c r="I15" i="30"/>
  <c r="K15" i="30" s="1"/>
  <c r="G15" i="30"/>
  <c r="E15" i="30"/>
  <c r="C15" i="30"/>
  <c r="B15" i="30"/>
  <c r="P14" i="30"/>
  <c r="O14" i="30"/>
  <c r="G104" i="30" s="1"/>
  <c r="I14" i="30"/>
  <c r="K14" i="30" s="1"/>
  <c r="G14" i="30"/>
  <c r="E14" i="30"/>
  <c r="E103" i="30" s="1"/>
  <c r="C14" i="30"/>
  <c r="B14" i="30"/>
  <c r="P13" i="30"/>
  <c r="O13" i="30"/>
  <c r="I13" i="30"/>
  <c r="K13" i="30" s="1"/>
  <c r="G13" i="30"/>
  <c r="E13" i="30"/>
  <c r="C13" i="30"/>
  <c r="B13" i="30"/>
  <c r="P12" i="30"/>
  <c r="O12" i="30"/>
  <c r="I12" i="30"/>
  <c r="K12" i="30" s="1"/>
  <c r="G12" i="30"/>
  <c r="E12" i="30"/>
  <c r="C12" i="30"/>
  <c r="B12" i="30"/>
  <c r="P11" i="30"/>
  <c r="O11" i="30"/>
  <c r="I11" i="30"/>
  <c r="K11" i="30" s="1"/>
  <c r="G11" i="30"/>
  <c r="E11" i="30"/>
  <c r="D98" i="30" s="1"/>
  <c r="C11" i="30"/>
  <c r="B11" i="30"/>
  <c r="P10" i="30"/>
  <c r="O10" i="30"/>
  <c r="I10" i="30"/>
  <c r="K10" i="30" s="1"/>
  <c r="G10" i="30"/>
  <c r="E10" i="30"/>
  <c r="C10" i="30"/>
  <c r="B10" i="30"/>
  <c r="P9" i="30"/>
  <c r="O9" i="30"/>
  <c r="G99" i="30" s="1"/>
  <c r="I9" i="30"/>
  <c r="K9" i="30" s="1"/>
  <c r="G9" i="30"/>
  <c r="E9" i="30"/>
  <c r="E98" i="30" s="1"/>
  <c r="H98" i="30" s="1"/>
  <c r="C9" i="30"/>
  <c r="B9" i="30"/>
  <c r="P8" i="30"/>
  <c r="O8" i="30"/>
  <c r="G8" i="30"/>
  <c r="E8" i="30"/>
  <c r="C8" i="30"/>
  <c r="B8" i="30"/>
  <c r="P3" i="30"/>
  <c r="M3" i="30"/>
  <c r="J3" i="30"/>
  <c r="G3" i="30"/>
  <c r="D3" i="30"/>
  <c r="N48" i="22"/>
  <c r="N47" i="22"/>
  <c r="N46" i="22"/>
  <c r="N45" i="22"/>
  <c r="N44" i="22"/>
  <c r="M48" i="22"/>
  <c r="M47" i="22"/>
  <c r="M46" i="22"/>
  <c r="M45" i="22"/>
  <c r="M44" i="22"/>
  <c r="N42" i="22"/>
  <c r="N41" i="22"/>
  <c r="N40" i="22"/>
  <c r="N39" i="22"/>
  <c r="N38" i="22"/>
  <c r="M42" i="22"/>
  <c r="M41" i="22"/>
  <c r="M40" i="22"/>
  <c r="M39" i="22"/>
  <c r="M38" i="22"/>
  <c r="E101" i="30" l="1"/>
  <c r="H101" i="30" s="1"/>
  <c r="E13" i="26"/>
  <c r="D14" i="32"/>
  <c r="M11" i="30"/>
  <c r="M12" i="30"/>
  <c r="E105" i="30"/>
  <c r="H105" i="30" s="1"/>
  <c r="M10" i="30"/>
  <c r="M14" i="30"/>
  <c r="E100" i="30"/>
  <c r="H100" i="30" s="1"/>
  <c r="K22" i="30"/>
  <c r="M22" i="30" s="1"/>
  <c r="K21" i="30"/>
  <c r="M21" i="30" s="1"/>
  <c r="E93" i="30"/>
  <c r="H93" i="30" s="1"/>
  <c r="B8" i="18"/>
  <c r="N21" i="18"/>
  <c r="K19" i="30"/>
  <c r="M19" i="30" s="1"/>
  <c r="F8" i="18"/>
  <c r="E106" i="30"/>
  <c r="H106" i="30" s="1"/>
  <c r="K18" i="30"/>
  <c r="G95" i="30" s="1"/>
  <c r="E99" i="30"/>
  <c r="H99" i="30" s="1"/>
  <c r="M8" i="30"/>
  <c r="H103" i="30"/>
  <c r="D103" i="30"/>
  <c r="P80" i="30"/>
  <c r="A106" i="26"/>
  <c r="K56" i="30"/>
  <c r="K57" i="30"/>
  <c r="E114" i="30"/>
  <c r="H114" i="30" s="1"/>
  <c r="L114" i="30" s="1"/>
  <c r="N114" i="30" s="1"/>
  <c r="F36" i="30"/>
  <c r="J93" i="30"/>
  <c r="J94" i="30"/>
  <c r="L94" i="30" s="1"/>
  <c r="N94" i="30" s="1"/>
  <c r="J95" i="30"/>
  <c r="L111" i="30"/>
  <c r="N111" i="30" s="1"/>
  <c r="E104" i="30"/>
  <c r="H104" i="30" s="1"/>
  <c r="M13" i="30"/>
  <c r="M16" i="30"/>
  <c r="O74" i="30"/>
  <c r="H109" i="30"/>
  <c r="G47" i="30"/>
  <c r="M17" i="30"/>
  <c r="N47" i="30"/>
  <c r="K55" i="30"/>
  <c r="M9" i="30" l="1"/>
  <c r="M15" i="30"/>
  <c r="M18" i="30"/>
  <c r="E95" i="30"/>
  <c r="H95" i="30" s="1"/>
  <c r="L95" i="30" s="1"/>
  <c r="N95" i="30" s="1"/>
  <c r="K58" i="30"/>
  <c r="D37" i="30" s="1"/>
  <c r="L93" i="30"/>
  <c r="N93" i="30" s="1"/>
  <c r="D102" i="30"/>
  <c r="P70" i="30"/>
  <c r="O68" i="30"/>
  <c r="E97" i="30"/>
  <c r="D97" i="30"/>
  <c r="E108" i="30" l="1"/>
  <c r="H108" i="30" s="1"/>
  <c r="O78" i="30"/>
  <c r="F37" i="30"/>
  <c r="P78" i="30" s="1"/>
  <c r="D107" i="30"/>
  <c r="E107" i="30"/>
  <c r="K15" i="22"/>
  <c r="F34" i="30" l="1"/>
  <c r="E115" i="30" s="1"/>
  <c r="H115" i="30" s="1"/>
  <c r="L115" i="30" s="1"/>
  <c r="N115" i="30" s="1"/>
  <c r="F34" i="31"/>
  <c r="E115" i="31" s="1"/>
  <c r="H115" i="31" s="1"/>
  <c r="L115" i="31" s="1"/>
  <c r="N115" i="31" s="1"/>
  <c r="A30" i="26"/>
  <c r="J15" i="22"/>
  <c r="F33" i="30" l="1"/>
  <c r="F33" i="31"/>
  <c r="E110" i="31" s="1"/>
  <c r="E32" i="22"/>
  <c r="E31" i="22"/>
  <c r="D32" i="22"/>
  <c r="D31" i="22"/>
  <c r="C32" i="22"/>
  <c r="C31" i="22"/>
  <c r="E110" i="30" l="1"/>
  <c r="H110" i="30" s="1"/>
  <c r="P76" i="30"/>
  <c r="K66" i="30" s="1"/>
  <c r="J90" i="30" s="1"/>
  <c r="H110" i="31"/>
  <c r="L110" i="31" s="1"/>
  <c r="N110" i="31" s="1"/>
  <c r="P76" i="31"/>
  <c r="G57" i="31"/>
  <c r="H57" i="31" s="1"/>
  <c r="G56" i="31"/>
  <c r="H56" i="31" s="1"/>
  <c r="G55" i="31"/>
  <c r="H55" i="31" s="1"/>
  <c r="G89" i="30"/>
  <c r="E7" i="30"/>
  <c r="C7" i="30"/>
  <c r="I7" i="30"/>
  <c r="B7" i="30"/>
  <c r="P7" i="30"/>
  <c r="J89" i="30" l="1"/>
  <c r="K7" i="30"/>
  <c r="E90" i="30" s="1"/>
  <c r="H90" i="30" s="1"/>
  <c r="L90" i="30" s="1"/>
  <c r="N90" i="30" s="1"/>
  <c r="E89" i="30"/>
  <c r="H89" i="30" s="1"/>
  <c r="K70" i="31"/>
  <c r="K66" i="31"/>
  <c r="H59" i="31"/>
  <c r="H58" i="31"/>
  <c r="D88" i="30"/>
  <c r="O30" i="30"/>
  <c r="O66" i="30"/>
  <c r="G56" i="30"/>
  <c r="H56" i="30" s="1"/>
  <c r="G57" i="30"/>
  <c r="H57" i="30" s="1"/>
  <c r="G55" i="30"/>
  <c r="H55" i="30" s="1"/>
  <c r="F182" i="26"/>
  <c r="L89" i="30" l="1"/>
  <c r="N89" i="30" s="1"/>
  <c r="M7" i="30"/>
  <c r="H60" i="31"/>
  <c r="E116" i="31"/>
  <c r="H116" i="31" s="1"/>
  <c r="L116" i="31" s="1"/>
  <c r="N116" i="31" s="1"/>
  <c r="C121" i="31"/>
  <c r="P30" i="31"/>
  <c r="J90" i="31"/>
  <c r="L90" i="31" s="1"/>
  <c r="N90" i="31" s="1"/>
  <c r="J89" i="31"/>
  <c r="L89" i="31" s="1"/>
  <c r="N89" i="31" s="1"/>
  <c r="J103" i="31"/>
  <c r="L103" i="31" s="1"/>
  <c r="N103" i="31" s="1"/>
  <c r="J104" i="31"/>
  <c r="L104" i="31" s="1"/>
  <c r="N104" i="31" s="1"/>
  <c r="J105" i="31"/>
  <c r="L105" i="31" s="1"/>
  <c r="N105" i="31" s="1"/>
  <c r="J106" i="31"/>
  <c r="L106" i="31" s="1"/>
  <c r="N106" i="31" s="1"/>
  <c r="H59" i="30"/>
  <c r="H58" i="30"/>
  <c r="C121" i="30" s="1"/>
  <c r="O31" i="30"/>
  <c r="O27" i="30"/>
  <c r="O29" i="30"/>
  <c r="O28" i="30"/>
  <c r="E117" i="30"/>
  <c r="H117" i="30" s="1"/>
  <c r="L117" i="30" s="1"/>
  <c r="N117" i="30" s="1"/>
  <c r="K72" i="30"/>
  <c r="J109" i="30" s="1"/>
  <c r="L109" i="30" s="1"/>
  <c r="N109" i="30" s="1"/>
  <c r="K68" i="30"/>
  <c r="K74" i="30"/>
  <c r="J110" i="30" s="1"/>
  <c r="L110" i="30" s="1"/>
  <c r="N110" i="30" s="1"/>
  <c r="K70" i="30"/>
  <c r="K76" i="30"/>
  <c r="J108" i="30" s="1"/>
  <c r="L108" i="30" s="1"/>
  <c r="N108" i="30" s="1"/>
  <c r="P27" i="31" l="1"/>
  <c r="Q27" i="31" s="1"/>
  <c r="R27" i="31" s="1"/>
  <c r="Q30" i="31"/>
  <c r="P29" i="31"/>
  <c r="Q29" i="31" s="1"/>
  <c r="R29" i="31" s="1"/>
  <c r="P31" i="31"/>
  <c r="Q31" i="31" s="1"/>
  <c r="R31" i="31" s="1"/>
  <c r="P28" i="31"/>
  <c r="Q28" i="31" s="1"/>
  <c r="F110" i="32"/>
  <c r="F115" i="32" s="1"/>
  <c r="C124" i="31"/>
  <c r="C122" i="31"/>
  <c r="F113" i="26"/>
  <c r="H121" i="31"/>
  <c r="N124" i="31"/>
  <c r="N125" i="31" s="1"/>
  <c r="O124" i="31" s="1"/>
  <c r="N118" i="31"/>
  <c r="J106" i="30"/>
  <c r="L106" i="30" s="1"/>
  <c r="N106" i="30" s="1"/>
  <c r="J104" i="30"/>
  <c r="L104" i="30" s="1"/>
  <c r="N104" i="30" s="1"/>
  <c r="J105" i="30"/>
  <c r="L105" i="30" s="1"/>
  <c r="N105" i="30" s="1"/>
  <c r="J103" i="30"/>
  <c r="L103" i="30" s="1"/>
  <c r="N103" i="30" s="1"/>
  <c r="P30" i="30"/>
  <c r="J101" i="30"/>
  <c r="L101" i="30" s="1"/>
  <c r="N101" i="30" s="1"/>
  <c r="J100" i="30"/>
  <c r="L100" i="30" s="1"/>
  <c r="N100" i="30" s="1"/>
  <c r="J99" i="30"/>
  <c r="L99" i="30" s="1"/>
  <c r="J98" i="30"/>
  <c r="L98" i="30" s="1"/>
  <c r="N98" i="30" s="1"/>
  <c r="H60" i="30"/>
  <c r="E116" i="30"/>
  <c r="H116" i="30" s="1"/>
  <c r="L116" i="30" s="1"/>
  <c r="N116" i="30" s="1"/>
  <c r="F183" i="26"/>
  <c r="F113" i="32" l="1"/>
  <c r="F116" i="26"/>
  <c r="R30" i="31"/>
  <c r="Q54" i="31" s="1"/>
  <c r="Q55" i="31"/>
  <c r="N120" i="31"/>
  <c r="N119" i="31"/>
  <c r="D121" i="31"/>
  <c r="C123" i="31"/>
  <c r="F114" i="26"/>
  <c r="F111" i="32"/>
  <c r="H122" i="31"/>
  <c r="I121" i="31"/>
  <c r="Q57" i="31"/>
  <c r="R28" i="31"/>
  <c r="Q56" i="31" s="1"/>
  <c r="C124" i="30"/>
  <c r="F103" i="32"/>
  <c r="N99" i="30"/>
  <c r="N118" i="30" s="1"/>
  <c r="F106" i="26"/>
  <c r="H121" i="30"/>
  <c r="I121" i="30" s="1"/>
  <c r="C122" i="30"/>
  <c r="Q30" i="30"/>
  <c r="P28" i="30"/>
  <c r="Q28" i="30" s="1"/>
  <c r="P31" i="30"/>
  <c r="Q31" i="30" s="1"/>
  <c r="R31" i="30" s="1"/>
  <c r="P29" i="30"/>
  <c r="Q29" i="30" s="1"/>
  <c r="R29" i="30" s="1"/>
  <c r="P27" i="30"/>
  <c r="Q27" i="30" s="1"/>
  <c r="R27" i="30" s="1"/>
  <c r="G99" i="26"/>
  <c r="G98" i="26"/>
  <c r="I97" i="26"/>
  <c r="G97" i="26"/>
  <c r="D97" i="26"/>
  <c r="I100" i="26"/>
  <c r="D100" i="26"/>
  <c r="J106" i="26" l="1"/>
  <c r="J113" i="26"/>
  <c r="F112" i="32"/>
  <c r="F115" i="26"/>
  <c r="H123" i="31"/>
  <c r="I122" i="31"/>
  <c r="J114" i="26" s="1"/>
  <c r="D122" i="31"/>
  <c r="F121" i="31"/>
  <c r="J121" i="31" s="1"/>
  <c r="N123" i="31"/>
  <c r="M123" i="31"/>
  <c r="F104" i="32"/>
  <c r="F107" i="26"/>
  <c r="F109" i="26"/>
  <c r="F106" i="32"/>
  <c r="N124" i="30"/>
  <c r="N125" i="30" s="1"/>
  <c r="O124" i="30" s="1"/>
  <c r="N119" i="30"/>
  <c r="D121" i="30"/>
  <c r="N120" i="30"/>
  <c r="N123" i="30" s="1"/>
  <c r="Q55" i="30"/>
  <c r="R30" i="30"/>
  <c r="Q54" i="30" s="1"/>
  <c r="H122" i="30"/>
  <c r="Q57" i="30"/>
  <c r="R28" i="30"/>
  <c r="Q56" i="30" s="1"/>
  <c r="C123" i="30"/>
  <c r="F105" i="32" s="1"/>
  <c r="N15" i="22"/>
  <c r="I7" i="32" s="1"/>
  <c r="K113" i="26" l="1"/>
  <c r="H124" i="31"/>
  <c r="I123" i="31"/>
  <c r="D123" i="31"/>
  <c r="F122" i="31"/>
  <c r="J122" i="31" s="1"/>
  <c r="I127" i="32"/>
  <c r="I88" i="32"/>
  <c r="I46" i="32"/>
  <c r="F108" i="26"/>
  <c r="M123" i="30"/>
  <c r="D122" i="30"/>
  <c r="F121" i="30"/>
  <c r="H123" i="30"/>
  <c r="I122" i="30"/>
  <c r="J107" i="26" s="1"/>
  <c r="H113" i="26" l="1"/>
  <c r="K106" i="26"/>
  <c r="I124" i="31"/>
  <c r="J116" i="26" s="1"/>
  <c r="J115" i="26"/>
  <c r="F123" i="31"/>
  <c r="J123" i="31" s="1"/>
  <c r="J124" i="31" s="1"/>
  <c r="D124" i="31"/>
  <c r="F124" i="31" s="1"/>
  <c r="H110" i="32"/>
  <c r="H106" i="26"/>
  <c r="H103" i="32"/>
  <c r="I123" i="30"/>
  <c r="H124" i="30"/>
  <c r="J121" i="30"/>
  <c r="F122" i="30"/>
  <c r="D123" i="30"/>
  <c r="I124" i="30" l="1"/>
  <c r="J109" i="26" s="1"/>
  <c r="J108" i="26"/>
  <c r="H111" i="32"/>
  <c r="H114" i="26"/>
  <c r="H107" i="26"/>
  <c r="H104" i="32"/>
  <c r="D124" i="30"/>
  <c r="F124" i="30" s="1"/>
  <c r="F123" i="30"/>
  <c r="J122" i="30"/>
  <c r="O167" i="22"/>
  <c r="O166" i="22"/>
  <c r="O165" i="22"/>
  <c r="O164" i="22"/>
  <c r="O163" i="22"/>
  <c r="N167" i="22"/>
  <c r="N166" i="22"/>
  <c r="N165" i="22"/>
  <c r="N164" i="22"/>
  <c r="N163" i="22"/>
  <c r="M167" i="22"/>
  <c r="M166" i="22"/>
  <c r="M165" i="22"/>
  <c r="M164" i="22"/>
  <c r="M163" i="22"/>
  <c r="L167" i="22"/>
  <c r="L166" i="22"/>
  <c r="L165" i="22"/>
  <c r="L164" i="22"/>
  <c r="L163" i="22"/>
  <c r="J163" i="22"/>
  <c r="K167" i="22"/>
  <c r="K166" i="22"/>
  <c r="K165" i="22"/>
  <c r="K164" i="22"/>
  <c r="K163" i="22"/>
  <c r="J167" i="22"/>
  <c r="J166" i="22"/>
  <c r="J165" i="22"/>
  <c r="J164" i="22"/>
  <c r="F167" i="22"/>
  <c r="F166" i="22"/>
  <c r="F165" i="22"/>
  <c r="F164" i="22"/>
  <c r="F163" i="22"/>
  <c r="E167" i="22"/>
  <c r="E166" i="22"/>
  <c r="E165" i="22"/>
  <c r="E164" i="22"/>
  <c r="E163" i="22"/>
  <c r="D167" i="22"/>
  <c r="D166" i="22"/>
  <c r="D165" i="22"/>
  <c r="D164" i="22"/>
  <c r="D163" i="22"/>
  <c r="H112" i="32" l="1"/>
  <c r="H116" i="26"/>
  <c r="H115" i="26"/>
  <c r="H113" i="32"/>
  <c r="H109" i="26"/>
  <c r="H105" i="32"/>
  <c r="H106" i="32"/>
  <c r="J123" i="30"/>
  <c r="J124" i="30" s="1"/>
  <c r="H108" i="26"/>
  <c r="R101" i="22"/>
  <c r="I165" i="22" s="1"/>
  <c r="Q101" i="22"/>
  <c r="H165" i="22" s="1"/>
  <c r="P101" i="22"/>
  <c r="G165" i="22" s="1"/>
  <c r="R90" i="22"/>
  <c r="I164" i="22" s="1"/>
  <c r="Q90" i="22"/>
  <c r="H164" i="22" s="1"/>
  <c r="P90" i="22"/>
  <c r="G164" i="22" s="1"/>
  <c r="P79" i="22"/>
  <c r="G167" i="22" s="1"/>
  <c r="R79" i="22"/>
  <c r="I167" i="22" s="1"/>
  <c r="Q79" i="22"/>
  <c r="H167" i="22" s="1"/>
  <c r="R68" i="22"/>
  <c r="I166" i="22" s="1"/>
  <c r="Q68" i="22"/>
  <c r="H166" i="22" s="1"/>
  <c r="P68" i="22"/>
  <c r="G166" i="22" s="1"/>
  <c r="R58" i="22"/>
  <c r="I163" i="22" s="1"/>
  <c r="Q58" i="22"/>
  <c r="H163" i="22" s="1"/>
  <c r="P58" i="22"/>
  <c r="G163" i="22" s="1"/>
  <c r="C167" i="22"/>
  <c r="C166" i="22"/>
  <c r="C165" i="22"/>
  <c r="C164" i="22"/>
  <c r="C163" i="22"/>
  <c r="B167" i="22"/>
  <c r="B166" i="22"/>
  <c r="B164" i="22"/>
  <c r="B165" i="22"/>
  <c r="B163" i="22"/>
  <c r="F161" i="22"/>
  <c r="E161" i="22"/>
  <c r="D161" i="22"/>
  <c r="C161" i="22"/>
  <c r="P37" i="30" l="1"/>
  <c r="P39" i="30"/>
  <c r="P38" i="30"/>
  <c r="L19" i="18"/>
  <c r="L20" i="18"/>
  <c r="L21" i="18"/>
  <c r="B83" i="26" l="1"/>
  <c r="B80" i="32"/>
  <c r="D83" i="26"/>
  <c r="D80" i="32"/>
  <c r="G83" i="26"/>
  <c r="G80" i="32"/>
  <c r="P3" i="18"/>
  <c r="M3" i="18"/>
  <c r="J3" i="18"/>
  <c r="G3" i="18"/>
  <c r="D3" i="18"/>
  <c r="B3" i="18"/>
  <c r="E33" i="26" l="1"/>
  <c r="I6" i="26"/>
  <c r="D11" i="26"/>
  <c r="D10" i="26"/>
  <c r="D9" i="26"/>
  <c r="I45" i="26" l="1"/>
  <c r="I136" i="26"/>
  <c r="I91" i="26"/>
  <c r="M26" i="22" l="1"/>
  <c r="G44" i="18" l="1"/>
  <c r="K21" i="18" l="1"/>
  <c r="E43" i="18"/>
  <c r="G43" i="18"/>
  <c r="D12" i="18"/>
  <c r="K28" i="18" s="1"/>
  <c r="J44" i="18" s="1"/>
  <c r="R11" i="18"/>
  <c r="I43" i="18"/>
  <c r="E44" i="18"/>
  <c r="Q11" i="18"/>
  <c r="S114" i="22"/>
  <c r="B183" i="26"/>
  <c r="B182" i="26"/>
  <c r="C115" i="26"/>
  <c r="I99" i="26"/>
  <c r="I98" i="26"/>
  <c r="D99" i="26"/>
  <c r="D98" i="26"/>
  <c r="E20" i="26"/>
  <c r="E24" i="26"/>
  <c r="E19" i="26"/>
  <c r="E18" i="26"/>
  <c r="J7" i="18"/>
  <c r="I19" i="18"/>
  <c r="K22" i="18" s="1"/>
  <c r="I20" i="18"/>
  <c r="J22" i="18" s="1"/>
  <c r="J21" i="18"/>
  <c r="B12" i="18"/>
  <c r="K25" i="22"/>
  <c r="K26" i="22"/>
  <c r="E47" i="18"/>
  <c r="G48" i="18"/>
  <c r="J47" i="18"/>
  <c r="I45" i="18"/>
  <c r="I49" i="18" s="1"/>
  <c r="G47" i="18"/>
  <c r="H47" i="18" s="1"/>
  <c r="L47" i="18" s="1"/>
  <c r="N47" i="18" s="1"/>
  <c r="J45" i="18"/>
  <c r="G45" i="18"/>
  <c r="E45" i="18"/>
  <c r="I44" i="18"/>
  <c r="F19" i="18"/>
  <c r="F20" i="18"/>
  <c r="V20" i="18"/>
  <c r="V19" i="18"/>
  <c r="V18" i="18"/>
  <c r="D44" i="18" s="1"/>
  <c r="I12" i="18"/>
  <c r="S113" i="22" l="1"/>
  <c r="H15" i="22"/>
  <c r="H45" i="18"/>
  <c r="A113" i="26"/>
  <c r="I48" i="18"/>
  <c r="J19" i="18"/>
  <c r="K20" i="18" s="1"/>
  <c r="I47" i="18"/>
  <c r="C113" i="26"/>
  <c r="P20" i="18"/>
  <c r="L45" i="18"/>
  <c r="N45" i="18" s="1"/>
  <c r="P21" i="18"/>
  <c r="C22" i="18"/>
  <c r="C21" i="18"/>
  <c r="E48" i="18" s="1"/>
  <c r="H48" i="18" s="1"/>
  <c r="L48" i="18" s="1"/>
  <c r="N48" i="18" s="1"/>
  <c r="O18" i="18"/>
  <c r="M20" i="18" s="1"/>
  <c r="T12" i="18" s="1"/>
  <c r="U12" i="18" s="1"/>
  <c r="V12" i="18" s="1"/>
  <c r="K26" i="18"/>
  <c r="K30" i="18"/>
  <c r="K32" i="18" s="1"/>
  <c r="H43" i="18"/>
  <c r="D43" i="18"/>
  <c r="E26" i="32" l="1"/>
  <c r="F31" i="30"/>
  <c r="E25" i="26"/>
  <c r="G32" i="22"/>
  <c r="G31" i="22"/>
  <c r="I25" i="22"/>
  <c r="C114" i="26"/>
  <c r="I15" i="22"/>
  <c r="Q21" i="18"/>
  <c r="H44" i="18" s="1"/>
  <c r="L44" i="18" s="1"/>
  <c r="N44" i="18" s="1"/>
  <c r="M19" i="18"/>
  <c r="T11" i="18" s="1"/>
  <c r="U11" i="18" s="1"/>
  <c r="V11" i="18" s="1"/>
  <c r="M21" i="18"/>
  <c r="T13" i="18" s="1"/>
  <c r="U13" i="18" s="1"/>
  <c r="V13" i="18" s="1"/>
  <c r="L43" i="18"/>
  <c r="N43" i="18" s="1"/>
  <c r="F32" i="30" l="1"/>
  <c r="F32" i="31"/>
  <c r="I26" i="22"/>
  <c r="U15" i="18"/>
  <c r="U16" i="18" s="1"/>
  <c r="U14" i="18"/>
  <c r="D42" i="18" s="1"/>
  <c r="V15" i="18"/>
  <c r="V16" i="18" s="1"/>
  <c r="H49" i="18" s="1"/>
  <c r="L49" i="18" s="1"/>
  <c r="N49" i="18" s="1"/>
  <c r="N50" i="18" s="1"/>
  <c r="V14" i="18"/>
  <c r="C56" i="18" s="1"/>
  <c r="C122" i="32" s="1"/>
  <c r="F123" i="26" l="1"/>
  <c r="C57" i="18"/>
  <c r="C132" i="26"/>
  <c r="D56" i="18"/>
  <c r="F56" i="18" s="1"/>
  <c r="F122" i="32" s="1"/>
  <c r="N53" i="18"/>
  <c r="D57" i="18" l="1"/>
  <c r="D58" i="18" s="1"/>
  <c r="C123" i="32"/>
  <c r="C133" i="26"/>
  <c r="C58" i="18"/>
  <c r="C124" i="32" s="1"/>
  <c r="F132" i="26"/>
  <c r="P53" i="18"/>
  <c r="O53" i="18"/>
  <c r="N51" i="18" s="1"/>
  <c r="C134" i="26" l="1"/>
  <c r="F57" i="18"/>
  <c r="F123" i="32" s="1"/>
  <c r="F58" i="18" l="1"/>
  <c r="F124" i="32" s="1"/>
  <c r="F133" i="26"/>
  <c r="F134" i="26" l="1"/>
</calcChain>
</file>

<file path=xl/sharedStrings.xml><?xml version="1.0" encoding="utf-8"?>
<sst xmlns="http://schemas.openxmlformats.org/spreadsheetml/2006/main" count="1750" uniqueCount="606">
  <si>
    <t>RVC</t>
  </si>
  <si>
    <t>RVP</t>
  </si>
  <si>
    <t>Promedio</t>
  </si>
  <si>
    <t>°C</t>
  </si>
  <si>
    <t>mL</t>
  </si>
  <si>
    <t>Rectangular</t>
  </si>
  <si>
    <t>Euramet 21</t>
  </si>
  <si>
    <t>U</t>
  </si>
  <si>
    <t>E</t>
  </si>
  <si>
    <t>gal</t>
  </si>
  <si>
    <t>1/°C</t>
  </si>
  <si>
    <t>∞</t>
  </si>
  <si>
    <t xml:space="preserve"> </t>
  </si>
  <si>
    <t>cm</t>
  </si>
  <si>
    <t>NOMBRE</t>
  </si>
  <si>
    <t>CORRECCIÓN</t>
  </si>
  <si>
    <t>hPa</t>
  </si>
  <si>
    <t>Como g ej &gt; 50  =&gt;para 95%</t>
  </si>
  <si>
    <t>Euramet 19</t>
  </si>
  <si>
    <t>Certificado de calibración</t>
  </si>
  <si>
    <t>Estimación</t>
  </si>
  <si>
    <t>mL°C-1</t>
  </si>
  <si>
    <t>FINAL</t>
  </si>
  <si>
    <t>PROMEDIO</t>
  </si>
  <si>
    <t>E3</t>
  </si>
  <si>
    <t>1 litro</t>
  </si>
  <si>
    <t>1 mililitro</t>
  </si>
  <si>
    <t>Objeto:</t>
  </si>
  <si>
    <t>Número de Serie</t>
  </si>
  <si>
    <t>Fecha de recepción</t>
  </si>
  <si>
    <t>Fecha de calibración</t>
  </si>
  <si>
    <t>Temperatura</t>
  </si>
  <si>
    <t>Pipeta</t>
  </si>
  <si>
    <t>Temperatura de Referencia</t>
  </si>
  <si>
    <t>Capacidad nominal</t>
  </si>
  <si>
    <t>FIRMAS AUTORIZADAS:</t>
  </si>
  <si>
    <t>____________________________________</t>
  </si>
  <si>
    <t>Firma Autorizada</t>
  </si>
  <si>
    <t>Calibrado Por:</t>
  </si>
  <si>
    <t>Fecha de elaboración:</t>
  </si>
  <si>
    <t>Humedad Relativa</t>
  </si>
  <si>
    <t>Presión atmosférica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</si>
  <si>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</si>
  <si>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</si>
  <si>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</si>
  <si>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</si>
  <si>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</si>
  <si>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</si>
  <si>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</si>
  <si>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</si>
  <si>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</si>
  <si>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</si>
  <si>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</si>
  <si>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</si>
  <si>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</si>
  <si>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</si>
  <si>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</si>
  <si>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</si>
  <si>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</si>
  <si>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 xml:space="preserve"> Coeficiente de expansión térmica del material del RVC.</t>
  </si>
  <si>
    <t>Temperatura de referencia en el RVC (generalmente 20°C).</t>
  </si>
  <si>
    <t xml:space="preserve">Delta respecto a la lectura del menisco </t>
  </si>
  <si>
    <t>Delta respecto a la repetibilidad de las mediciones</t>
  </si>
  <si>
    <t>Delta respecto a factores adicionales</t>
  </si>
  <si>
    <t>Instrumento</t>
  </si>
  <si>
    <t>No. de Serie</t>
  </si>
  <si>
    <t>Trazabilidad</t>
  </si>
  <si>
    <t>DATOS DE LOS PATRONES</t>
  </si>
  <si>
    <t>Unidad</t>
  </si>
  <si>
    <t xml:space="preserve">Incertidumbre por Deriva </t>
  </si>
  <si>
    <t>ml</t>
  </si>
  <si>
    <t>Termómetro (RVP)</t>
  </si>
  <si>
    <t>Termómetro (RVC)</t>
  </si>
  <si>
    <t>Pie de Rey</t>
  </si>
  <si>
    <t>DATOS DE LOS RECIPIENTES</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</si>
  <si>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</si>
  <si>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</si>
  <si>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</si>
  <si>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</si>
  <si>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</si>
  <si>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</si>
  <si>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</si>
  <si>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</si>
  <si>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</si>
  <si>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</si>
  <si>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</si>
  <si>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</si>
  <si>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</si>
  <si>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</si>
  <si>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</si>
  <si>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Coeficiente cubico de expansión térmico del material</t>
  </si>
  <si>
    <t>Diámetro interno del cuello</t>
  </si>
  <si>
    <t>Ancho de los trazos de la escala</t>
  </si>
  <si>
    <t>CICLOS DE CALIBRACIÓN</t>
  </si>
  <si>
    <t xml:space="preserve">TOMA DE DATOS DEL RVP </t>
  </si>
  <si>
    <t xml:space="preserve">TOMA DE DATOS DEL RVC </t>
  </si>
  <si>
    <t>Ítem</t>
  </si>
  <si>
    <t>Temperatura liquido °C</t>
  </si>
  <si>
    <t>Vertido (s)</t>
  </si>
  <si>
    <t>Escurrido (s)</t>
  </si>
  <si>
    <t>Total de (V+E) (s)</t>
  </si>
  <si>
    <t xml:space="preserve">n =                     </t>
  </si>
  <si>
    <t>Adicionar / Sustraer  (mL)</t>
  </si>
  <si>
    <t xml:space="preserve">                             ( mL)    </t>
  </si>
  <si>
    <t>COEFICIENTE DE SENSIBILIDAD CON RESPECTO AL VOLUMEN DE REFERENCIA (RVP)</t>
  </si>
  <si>
    <t>Derivadas Parciales</t>
  </si>
  <si>
    <t xml:space="preserve">Respecto al Coeficiente cubico de expansión térmico del agua </t>
  </si>
  <si>
    <t>Respecto a la lectura del menisco</t>
  </si>
  <si>
    <t>Respecto a la repetibilidad de las mediciones</t>
  </si>
  <si>
    <t>Respecto a los factores adicionales</t>
  </si>
  <si>
    <t>PRESPUESTO DE INCERTIDUMBRE</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</si>
  <si>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</si>
  <si>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</si>
  <si>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</si>
  <si>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</si>
  <si>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</si>
  <si>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</si>
  <si>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</si>
  <si>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</si>
  <si>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</si>
  <si>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</si>
  <si>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</si>
  <si>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</si>
  <si>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</si>
  <si>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</si>
  <si>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</si>
  <si>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</si>
  <si>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</si>
  <si>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</si>
  <si>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</si>
  <si>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</si>
  <si>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</si>
  <si>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</si>
  <si>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</si>
  <si>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</si>
  <si>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</si>
  <si>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</si>
  <si>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</si>
  <si>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</si>
  <si>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</si>
  <si>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</si>
  <si>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r>
      <t>V</t>
    </r>
    <r>
      <rPr>
        <vertAlign val="subscript"/>
        <sz val="16"/>
        <color theme="1"/>
        <rFont val="Arial"/>
        <family val="2"/>
      </rPr>
      <t>t</t>
    </r>
  </si>
  <si>
    <r>
      <t>u ( V</t>
    </r>
    <r>
      <rPr>
        <vertAlign val="subscript"/>
        <sz val="16"/>
        <color theme="1"/>
        <rFont val="Arial"/>
        <family val="2"/>
      </rPr>
      <t xml:space="preserve">t </t>
    </r>
    <r>
      <rPr>
        <sz val="16"/>
        <color theme="1"/>
        <rFont val="Arial"/>
        <family val="2"/>
      </rPr>
      <t>)</t>
    </r>
  </si>
  <si>
    <t>│E│</t>
  </si>
  <si>
    <t>U corregida</t>
  </si>
  <si>
    <t>INTERPOLACION CERTIFICADO DE CALIBRACION</t>
  </si>
  <si>
    <t>ANALISIS DE DATOS INTERPOLACIÓN (mL)</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</si>
  <si>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</si>
  <si>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</si>
  <si>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</si>
  <si>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</si>
  <si>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</si>
  <si>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</si>
  <si>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</si>
  <si>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</si>
  <si>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</si>
  <si>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</si>
  <si>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</si>
  <si>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</si>
  <si>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</si>
  <si>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</si>
  <si>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</si>
  <si>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</si>
  <si>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</si>
  <si>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</si>
  <si>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</si>
  <si>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</si>
  <si>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</si>
  <si>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</si>
  <si>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</si>
  <si>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</si>
  <si>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</si>
  <si>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</si>
  <si>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</si>
  <si>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1 in</t>
    </r>
    <r>
      <rPr>
        <b/>
        <vertAlign val="superscript"/>
        <sz val="14"/>
        <color rgb="FF000000"/>
        <rFont val="Arial"/>
        <family val="2"/>
      </rPr>
      <t>3</t>
    </r>
  </si>
  <si>
    <r>
      <t>1 in</t>
    </r>
    <r>
      <rPr>
        <b/>
        <vertAlign val="superscript"/>
        <sz val="10"/>
        <color theme="1"/>
        <rFont val="Arial"/>
        <family val="2"/>
      </rPr>
      <t>3</t>
    </r>
  </si>
  <si>
    <r>
      <t>1 cm</t>
    </r>
    <r>
      <rPr>
        <b/>
        <vertAlign val="superscript"/>
        <sz val="10"/>
        <color theme="1"/>
        <rFont val="Arial"/>
        <family val="2"/>
      </rPr>
      <t>3</t>
    </r>
  </si>
  <si>
    <r>
      <t>V</t>
    </r>
    <r>
      <rPr>
        <i/>
        <vertAlign val="subscript"/>
        <sz val="12"/>
        <color theme="1"/>
        <rFont val="Arial"/>
        <family val="2"/>
      </rPr>
      <t>t</t>
    </r>
  </si>
  <si>
    <r>
      <t>V</t>
    </r>
    <r>
      <rPr>
        <i/>
        <vertAlign val="subscript"/>
        <sz val="12"/>
        <color theme="1"/>
        <rFont val="Arial"/>
        <family val="2"/>
      </rPr>
      <t xml:space="preserve">t + </t>
    </r>
    <r>
      <rPr>
        <vertAlign val="subscript"/>
        <sz val="12"/>
        <color theme="1"/>
        <rFont val="Arial"/>
        <family val="2"/>
      </rPr>
      <t>±</t>
    </r>
    <r>
      <rPr>
        <i/>
        <vertAlign val="subscript"/>
        <sz val="12"/>
        <color theme="1"/>
        <rFont val="Arial"/>
        <family val="2"/>
      </rPr>
      <t xml:space="preserve"> </t>
    </r>
    <r>
      <rPr>
        <i/>
        <sz val="12"/>
        <color theme="1"/>
        <rFont val="Arial"/>
        <family val="2"/>
      </rPr>
      <t>∆V)</t>
    </r>
  </si>
  <si>
    <r>
      <t>°C</t>
    </r>
    <r>
      <rPr>
        <vertAlign val="superscript"/>
        <sz val="10"/>
        <color theme="1"/>
        <rFont val="Arial"/>
        <family val="2"/>
      </rPr>
      <t>-1</t>
    </r>
  </si>
  <si>
    <r>
      <t>Adicionar / Sustraer  (in</t>
    </r>
    <r>
      <rPr>
        <vertAlign val="superscript"/>
        <sz val="14"/>
        <color theme="1"/>
        <rFont val="Arial"/>
        <family val="2"/>
      </rPr>
      <t>3)</t>
    </r>
  </si>
  <si>
    <r>
      <t xml:space="preserve">Promedio   </t>
    </r>
    <r>
      <rPr>
        <b/>
        <i/>
        <sz val="11"/>
        <color theme="0"/>
        <rFont val="Arial"/>
        <family val="2"/>
      </rPr>
      <t>Vt</t>
    </r>
  </si>
  <si>
    <r>
      <t xml:space="preserve">Desviación </t>
    </r>
    <r>
      <rPr>
        <b/>
        <i/>
        <sz val="11"/>
        <color theme="0"/>
        <rFont val="Arial"/>
        <family val="2"/>
      </rPr>
      <t>s  Vt</t>
    </r>
  </si>
  <si>
    <r>
      <t xml:space="preserve">Valor Estimado </t>
    </r>
    <r>
      <rPr>
        <b/>
        <i/>
        <sz val="12"/>
        <color theme="1"/>
        <rFont val="Arial"/>
        <family val="2"/>
      </rPr>
      <t>X</t>
    </r>
    <r>
      <rPr>
        <b/>
        <i/>
        <vertAlign val="subscript"/>
        <sz val="12"/>
        <color theme="1"/>
        <rFont val="Arial"/>
        <family val="2"/>
      </rPr>
      <t>i</t>
    </r>
  </si>
  <si>
    <t>Incertidumbre del Certificado</t>
  </si>
  <si>
    <t>Fecha de Calibración</t>
  </si>
  <si>
    <t>División de Escala / Resolución</t>
  </si>
  <si>
    <t>Identificación             /  
Serie</t>
  </si>
  <si>
    <r>
      <t xml:space="preserve">Corrección </t>
    </r>
    <r>
      <rPr>
        <b/>
        <sz val="7"/>
        <color theme="1"/>
        <rFont val="Arial"/>
        <family val="2"/>
      </rPr>
      <t>(Según Certificado)</t>
    </r>
  </si>
  <si>
    <r>
      <t xml:space="preserve">Capacidad            </t>
    </r>
    <r>
      <rPr>
        <b/>
        <sz val="8"/>
        <color theme="1"/>
        <rFont val="Arial"/>
        <family val="2"/>
      </rPr>
      <t>(Según Certificado)</t>
    </r>
  </si>
  <si>
    <r>
      <t xml:space="preserve">Factor de Cobertura </t>
    </r>
    <r>
      <rPr>
        <b/>
        <sz val="8"/>
        <color theme="1"/>
        <rFont val="Arial"/>
        <family val="2"/>
      </rPr>
      <t>(Según Certificado)</t>
    </r>
  </si>
  <si>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</si>
  <si>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</si>
  <si>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</si>
  <si>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</si>
  <si>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</si>
  <si>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</si>
  <si>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</si>
  <si>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</si>
  <si>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</si>
  <si>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</si>
  <si>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MICROMETRO DE EXTERIORES</t>
  </si>
  <si>
    <t>Pie de Rey           "puntas de interiores"</t>
  </si>
  <si>
    <t>Pie de Rey           "puntas de exteriores"</t>
  </si>
  <si>
    <t>Unidades en  " °C "</t>
  </si>
  <si>
    <t>Unidades en    " mm "</t>
  </si>
  <si>
    <t>Unidades en    " s "</t>
  </si>
  <si>
    <t xml:space="preserve">Puntos para Interpolar según  Certificado </t>
  </si>
  <si>
    <t>Serie</t>
  </si>
  <si>
    <t>Capacidad Nominal en  " gal "</t>
  </si>
  <si>
    <t>NOMBRE DEL METRÓLOGO</t>
  </si>
  <si>
    <t>Respecto al Coeficiente cubico de expansión térmico del material del " RVC "</t>
  </si>
  <si>
    <t>Respecto al Coeficiente cubico de expansión térmico del material del  " RVP "</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</si>
  <si>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</si>
  <si>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</si>
  <si>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</si>
  <si>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</si>
  <si>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</si>
  <si>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</si>
  <si>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</si>
  <si>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</si>
  <si>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</si>
  <si>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22,1014,1212,,005 / pt 347980,004     </t>
  </si>
  <si>
    <t xml:space="preserve">004,0816,1212,006 / pt 347980,002     </t>
  </si>
  <si>
    <t xml:space="preserve">004,0816,1212,006 / pt 347980,002    </t>
  </si>
  <si>
    <t>V-1</t>
  </si>
  <si>
    <t>V-2</t>
  </si>
  <si>
    <t>V-3</t>
  </si>
  <si>
    <t>V-4</t>
  </si>
  <si>
    <t>V-5</t>
  </si>
  <si>
    <t>V-6</t>
  </si>
  <si>
    <t>V-7</t>
  </si>
  <si>
    <t>V-8</t>
  </si>
  <si>
    <t>V-9</t>
  </si>
  <si>
    <t>V-10</t>
  </si>
  <si>
    <t>V-11</t>
  </si>
  <si>
    <t xml:space="preserve">CR -01        Auxiliar </t>
  </si>
  <si>
    <t>V-14</t>
  </si>
  <si>
    <t>Corrección (Según Certificado)</t>
  </si>
  <si>
    <t>Factor de Cobertura (Según Certificado)</t>
  </si>
  <si>
    <t>No</t>
  </si>
  <si>
    <t>Diámetro interno del cuello (cm)</t>
  </si>
  <si>
    <t>Coeficiente cubico de expansión térmico del material ( °C-1)</t>
  </si>
  <si>
    <t>División de escala ( mL )</t>
  </si>
  <si>
    <t>Temperatura de referencia ( °C )</t>
  </si>
  <si>
    <t>Resolución ( mL )</t>
  </si>
  <si>
    <t>Ancho de los trazos de la escala (cm)</t>
  </si>
  <si>
    <t>Coeficiente cubico de expansión térmico del material (IP)  ( °C-1)</t>
  </si>
  <si>
    <t>Elvis Aguirre Romero</t>
  </si>
  <si>
    <t>Arcesio Velandia Carreño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</si>
  <si>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</si>
  <si>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</si>
  <si>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</si>
  <si>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</si>
  <si>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</si>
  <si>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</si>
  <si>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</si>
  <si>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0,5 </t>
    </r>
    <r>
      <rPr>
        <b/>
        <vertAlign val="superscript"/>
        <sz val="12"/>
        <color theme="1"/>
        <rFont val="Arial"/>
        <family val="2"/>
      </rPr>
      <t xml:space="preserve">   </t>
    </r>
    <r>
      <rPr>
        <b/>
        <sz val="12"/>
        <color theme="1"/>
        <rFont val="Arial"/>
        <family val="2"/>
      </rPr>
      <t>=</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</si>
  <si>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</si>
  <si>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</si>
  <si>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</si>
  <si>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</si>
  <si>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</si>
  <si>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</si>
  <si>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</si>
  <si>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</si>
  <si>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</si>
  <si>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</si>
  <si>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</si>
  <si>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</si>
  <si>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</si>
  <si>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</si>
  <si>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</si>
  <si>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</si>
  <si>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</si>
  <si>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</si>
  <si>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</si>
  <si>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</si>
  <si>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</si>
  <si>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Procal.c</t>
  </si>
  <si>
    <t>V-12</t>
  </si>
  <si>
    <t xml:space="preserve">Lufft </t>
  </si>
  <si>
    <t>Trazabilidad y numero</t>
  </si>
  <si>
    <t>Observaciones</t>
  </si>
  <si>
    <t>Intervalo de Medición</t>
  </si>
  <si>
    <t>A</t>
  </si>
  <si>
    <r>
      <t>in</t>
    </r>
    <r>
      <rPr>
        <vertAlign val="superscript"/>
        <sz val="14"/>
        <color theme="1"/>
        <rFont val="Arial"/>
        <family val="2"/>
      </rPr>
      <t>3</t>
    </r>
  </si>
  <si>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</si>
  <si>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</si>
  <si>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</si>
  <si>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</si>
  <si>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</si>
  <si>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</si>
  <si>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</si>
  <si>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</si>
  <si>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r>
      <t xml:space="preserve">Corrección </t>
    </r>
    <r>
      <rPr>
        <b/>
        <sz val="7"/>
        <color theme="1"/>
        <rFont val="Arial"/>
        <family val="2"/>
      </rPr>
      <t>(Según Certificado) mL</t>
    </r>
  </si>
  <si>
    <t>Incertidumbre del Certificado mL</t>
  </si>
  <si>
    <r>
      <t xml:space="preserve">                      DATOS PROBETA PATRON                      (V</t>
    </r>
    <r>
      <rPr>
        <b/>
        <vertAlign val="subscript"/>
        <sz val="14"/>
        <color theme="0"/>
        <rFont val="Arial"/>
        <family val="2"/>
      </rPr>
      <t>sp</t>
    </r>
    <r>
      <rPr>
        <b/>
        <sz val="14"/>
        <color theme="0"/>
        <rFont val="Arial"/>
        <family val="2"/>
      </rPr>
      <t>) (mL)</t>
    </r>
  </si>
  <si>
    <t>AV</t>
  </si>
  <si>
    <t>LH</t>
  </si>
  <si>
    <t>EA</t>
  </si>
  <si>
    <t>Información Inicial</t>
  </si>
  <si>
    <t>N °  Certificado Adherido</t>
  </si>
  <si>
    <t>Equipos Patrón</t>
  </si>
  <si>
    <t>V-003    Punto 1</t>
  </si>
  <si>
    <t>V-003    Punto 2</t>
  </si>
  <si>
    <t>V-003    Punto 3</t>
  </si>
  <si>
    <t>V-004   Punto 1</t>
  </si>
  <si>
    <t>V-004   Punto 2</t>
  </si>
  <si>
    <t>V-004   Punto 3</t>
  </si>
  <si>
    <t>V-13 Punto 20</t>
  </si>
  <si>
    <t>V-13 Punto 50</t>
  </si>
  <si>
    <t>V-13 Punto 100</t>
  </si>
  <si>
    <t>V-13 Punto 150</t>
  </si>
  <si>
    <t>V-13 Punto 200</t>
  </si>
  <si>
    <t>CMC</t>
  </si>
  <si>
    <t>DATOS</t>
  </si>
  <si>
    <t>Unidades en    " mL"</t>
  </si>
  <si>
    <t>INM 2148</t>
  </si>
  <si>
    <t>INM 1831</t>
  </si>
  <si>
    <t>INM 2990</t>
  </si>
  <si>
    <t>INM 2981</t>
  </si>
  <si>
    <t>INM 2985</t>
  </si>
  <si>
    <t xml:space="preserve">MLP - 01          </t>
  </si>
  <si>
    <t>INM 2952</t>
  </si>
  <si>
    <t>INM 2964</t>
  </si>
  <si>
    <t>SIGMA No. 33295</t>
  </si>
  <si>
    <t>SIGMA No. 33291</t>
  </si>
  <si>
    <t>CMK-TFA-17096</t>
  </si>
  <si>
    <t>V-13 Punto 5</t>
  </si>
  <si>
    <t>V-13 Punto 70</t>
  </si>
  <si>
    <t>INM  3179</t>
  </si>
  <si>
    <t>INM   3176</t>
  </si>
  <si>
    <t>Capacidad Nominal en      ( gal )</t>
  </si>
  <si>
    <t>Precinto #</t>
  </si>
  <si>
    <t xml:space="preserve">Temperatura </t>
  </si>
  <si>
    <t>%</t>
  </si>
  <si>
    <r>
      <t>Intervalo de la escala RV en  ±10 in</t>
    </r>
    <r>
      <rPr>
        <b/>
        <vertAlign val="superscript"/>
        <sz val="10"/>
        <rFont val="Arial"/>
        <family val="2"/>
      </rPr>
      <t>3</t>
    </r>
  </si>
  <si>
    <r>
      <t>in</t>
    </r>
    <r>
      <rPr>
        <vertAlign val="superscript"/>
        <sz val="12"/>
        <rFont val="Arial"/>
        <family val="2"/>
      </rPr>
      <t>3</t>
    </r>
  </si>
  <si>
    <r>
      <t>0,25 in</t>
    </r>
    <r>
      <rPr>
        <vertAlign val="superscript"/>
        <sz val="10"/>
        <rFont val="Arial"/>
        <family val="2"/>
      </rPr>
      <t>3</t>
    </r>
  </si>
  <si>
    <r>
      <t>0,5 in</t>
    </r>
    <r>
      <rPr>
        <vertAlign val="superscript"/>
        <sz val="10"/>
        <rFont val="Arial"/>
        <family val="2"/>
      </rPr>
      <t>3</t>
    </r>
  </si>
  <si>
    <r>
      <t>in</t>
    </r>
    <r>
      <rPr>
        <b/>
        <vertAlign val="superscript"/>
        <sz val="10"/>
        <rFont val="Arial"/>
        <family val="2"/>
      </rPr>
      <t>3</t>
    </r>
  </si>
  <si>
    <r>
      <t>1 in</t>
    </r>
    <r>
      <rPr>
        <vertAlign val="superscript"/>
        <sz val="10"/>
        <rFont val="Arial"/>
        <family val="2"/>
      </rPr>
      <t>3</t>
    </r>
  </si>
  <si>
    <t>HOJA DE CÁLCULO PARA CALIBRACIÓN DE RECIPIENTES VOLUMÉTRICOS</t>
  </si>
  <si>
    <t>°C-1</t>
  </si>
  <si>
    <t>No tiene</t>
  </si>
  <si>
    <t>mL°C</t>
  </si>
  <si>
    <t>Patrón Utilizado en la Calibración - Termo higrómetros</t>
  </si>
  <si>
    <t xml:space="preserve">  V-002 </t>
  </si>
  <si>
    <t>Humedad</t>
  </si>
  <si>
    <t>Código Interno</t>
  </si>
  <si>
    <t>%Rh</t>
  </si>
  <si>
    <t>V-002</t>
  </si>
  <si>
    <t xml:space="preserve">M-012 </t>
  </si>
  <si>
    <t xml:space="preserve">M-012  </t>
  </si>
  <si>
    <t xml:space="preserve">M-013 </t>
  </si>
  <si>
    <t>CDT CERT-16-EMP-1057-2567</t>
  </si>
  <si>
    <t xml:space="preserve">M-013  </t>
  </si>
  <si>
    <t xml:space="preserve">M-010 </t>
  </si>
  <si>
    <t>M-010</t>
  </si>
  <si>
    <t xml:space="preserve">M-011 </t>
  </si>
  <si>
    <t>0,22.0714.0802.024</t>
  </si>
  <si>
    <t>INM 1997</t>
  </si>
  <si>
    <t>INM 2147</t>
  </si>
  <si>
    <t>M-011</t>
  </si>
  <si>
    <r>
      <t xml:space="preserve">DATOS DE CONDICIONES AMBIENTALES </t>
    </r>
    <r>
      <rPr>
        <b/>
        <i/>
        <sz val="14"/>
        <color theme="0"/>
        <rFont val="Arial"/>
        <family val="2"/>
      </rPr>
      <t>TERMOHIGROMETRO</t>
    </r>
  </si>
  <si>
    <t>Temperatura °C</t>
  </si>
  <si>
    <t>Humedad Relativa %Rh</t>
  </si>
  <si>
    <t>Presión Atmosférica hPa</t>
  </si>
  <si>
    <r>
      <t>mL°C</t>
    </r>
    <r>
      <rPr>
        <b/>
        <i/>
        <vertAlign val="superscript"/>
        <sz val="12"/>
        <color theme="1"/>
        <rFont val="Arial"/>
        <family val="2"/>
      </rPr>
      <t>-1</t>
    </r>
  </si>
  <si>
    <r>
      <t xml:space="preserve">N.C </t>
    </r>
    <r>
      <rPr>
        <b/>
        <i/>
        <sz val="16"/>
        <rFont val="Arial"/>
        <family val="2"/>
      </rPr>
      <t>%</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</si>
  <si>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</si>
  <si>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</si>
  <si>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</si>
  <si>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</si>
  <si>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</si>
  <si>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</si>
  <si>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</si>
  <si>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</si>
  <si>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r>
      <t xml:space="preserve">Contribución </t>
    </r>
    <r>
      <rPr>
        <b/>
        <vertAlign val="superscript"/>
        <sz val="10"/>
        <color theme="1"/>
        <rFont val="Arial"/>
        <family val="2"/>
      </rPr>
      <t>2</t>
    </r>
  </si>
  <si>
    <t>Código interno</t>
  </si>
  <si>
    <t>Incertidumbre Estándar Global</t>
  </si>
  <si>
    <t xml:space="preserve">HOJA DE CÁLCULO PARA CALIBRACIÓN DE RECIPIENTES VOLUMÉTRICOS </t>
  </si>
  <si>
    <r>
      <t xml:space="preserve">Unidades en   " °C ,  rH%  </t>
    </r>
    <r>
      <rPr>
        <sz val="14"/>
        <color theme="0"/>
        <rFont val="Arial"/>
        <family val="2"/>
      </rPr>
      <t>y</t>
    </r>
    <r>
      <rPr>
        <b/>
        <sz val="14"/>
        <color theme="0"/>
        <rFont val="Arial"/>
        <family val="2"/>
      </rPr>
      <t xml:space="preserve"> hPa " </t>
    </r>
    <r>
      <rPr>
        <sz val="14"/>
        <color theme="0"/>
        <rFont val="Arial"/>
        <family val="2"/>
      </rPr>
      <t xml:space="preserve"> según corresponda</t>
    </r>
  </si>
  <si>
    <t>°C m Pendiente</t>
  </si>
  <si>
    <t>°C b Intersección</t>
  </si>
  <si>
    <t>%rH m Pendiente</t>
  </si>
  <si>
    <t>hPa m Pendiente</t>
  </si>
  <si>
    <t>%rH b Intersección</t>
  </si>
  <si>
    <t>hPa b Intersección</t>
  </si>
  <si>
    <t>INM 3688</t>
  </si>
  <si>
    <t>V-003    Punto 4</t>
  </si>
  <si>
    <t>V-003    Punto 5</t>
  </si>
  <si>
    <t>V-004   Punto 4</t>
  </si>
  <si>
    <t>V-004   Punto 5</t>
  </si>
  <si>
    <t>C-I V-004</t>
  </si>
  <si>
    <t>C-I V-003</t>
  </si>
  <si>
    <t>Intervalos Nominal (Min y MAX)</t>
  </si>
  <si>
    <t>Según indica certificado (Min y Max)</t>
  </si>
  <si>
    <t>Tipo de visor:</t>
  </si>
  <si>
    <t>Modelo:</t>
  </si>
  <si>
    <t>INM 3692</t>
  </si>
  <si>
    <t>Fuera de Servicio</t>
  </si>
  <si>
    <t>Metrólogo de Masa y Volumen</t>
  </si>
  <si>
    <t>División de escala  (mL)</t>
  </si>
  <si>
    <t>Resolución (mL)</t>
  </si>
  <si>
    <t>Unidades en   ( mL )</t>
  </si>
  <si>
    <t>AcerosEuramet cg 21 tabla 1</t>
  </si>
  <si>
    <t>Capacidad del RVC</t>
  </si>
  <si>
    <t>Después de ajuste</t>
  </si>
  <si>
    <t>in3</t>
  </si>
  <si>
    <t xml:space="preserve"> ±</t>
  </si>
  <si>
    <t>Termómetro RVP *</t>
  </si>
  <si>
    <t>Termómetro RVC *</t>
  </si>
  <si>
    <t>INM (2286) 2016</t>
  </si>
  <si>
    <t xml:space="preserve"> Recipiente Calibrado  en el  Laboratorio  SIC - (RVC)</t>
  </si>
  <si>
    <t>INM 3933</t>
  </si>
  <si>
    <t>INM 3934</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</si>
  <si>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</si>
  <si>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</si>
  <si>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Limpia</t>
  </si>
  <si>
    <t>Mediciones (cm)</t>
  </si>
  <si>
    <t>TABLA DE CONVERSIÓN                       
Disponible en  https://www.nist.gov/physical-measurement-laboratory/nist-guide-si-appendix-b</t>
  </si>
  <si>
    <r>
      <t>in</t>
    </r>
    <r>
      <rPr>
        <b/>
        <vertAlign val="superscript"/>
        <sz val="18"/>
        <color theme="1"/>
        <rFont val="Arial"/>
        <family val="2"/>
      </rPr>
      <t>3</t>
    </r>
  </si>
  <si>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</si>
  <si>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</si>
  <si>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</si>
  <si>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</si>
  <si>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</si>
  <si>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</si>
  <si>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</si>
  <si>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</si>
  <si>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</si>
  <si>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18501,0 a 19336,6 mL</t>
  </si>
  <si>
    <t>14°C a 22°C</t>
  </si>
  <si>
    <t>Capacidad nominal:</t>
  </si>
  <si>
    <t>Número de serie:</t>
  </si>
  <si>
    <t>Fabricante:</t>
  </si>
  <si>
    <t>Superficie externa:</t>
  </si>
  <si>
    <t>Superficie interna:</t>
  </si>
  <si>
    <t>Tubo en vidrio</t>
  </si>
  <si>
    <t xml:space="preserve">4.   MÉTODO DE CALIBRACIÓN UTILIZADO </t>
  </si>
  <si>
    <t>Para la calibración del recipiente volumétrico, se utilizó el método  establecido en el documento normativo Euramet cg-21, vr 1.0. (04/2013)</t>
  </si>
  <si>
    <t>5.  CONDICIONES AMBIENTALES</t>
  </si>
  <si>
    <t>Las condiciones ambientales promedio corregidas en el laboratorio durante la calibración fueron las siguientes:</t>
  </si>
  <si>
    <t>6.   INCERTIDUMBRE DE MEDICIÓN</t>
  </si>
  <si>
    <t>7.   TRAZABILIDAD METROLÓGICA</t>
  </si>
  <si>
    <t>8.   RESULTADOS DE LA CALIBRACIÓN</t>
  </si>
  <si>
    <t>9.   SE AJUSTO LA ESCALA</t>
  </si>
  <si>
    <t>10.   OBSERVACIONES</t>
  </si>
  <si>
    <t>División mínima promedio de escala en mililitros, pulgadas y porcentaje:</t>
  </si>
  <si>
    <t>RVP Código Interno</t>
  </si>
  <si>
    <t>Recipientes Volumétricos Patrón</t>
  </si>
  <si>
    <t>Termómetro utilizado en el liquido del RVC</t>
  </si>
  <si>
    <t>Termómetro utilizado en el liquido del RVP</t>
  </si>
  <si>
    <t>Verificación de Escala</t>
  </si>
  <si>
    <t>Material del Recipiente Volumétrico</t>
  </si>
  <si>
    <r>
      <t xml:space="preserve">División de Escala  in </t>
    </r>
    <r>
      <rPr>
        <vertAlign val="superscript"/>
        <sz val="10"/>
        <rFont val="Arial"/>
        <family val="2"/>
      </rPr>
      <t>3</t>
    </r>
  </si>
  <si>
    <t>Datos de la probeta capacidad nominal  según certificado " suministrar" (mL)</t>
  </si>
  <si>
    <t>Según certificado  punto Mínimo</t>
  </si>
  <si>
    <t>Según certificado  punto Máximo</t>
  </si>
  <si>
    <t>Cronómetros</t>
  </si>
  <si>
    <t>Dirección de Calibración</t>
  </si>
  <si>
    <t>Metrólogos</t>
  </si>
  <si>
    <t>Nombre del Metrólogo</t>
  </si>
  <si>
    <t xml:space="preserve"> Director Técnico </t>
  </si>
  <si>
    <t xml:space="preserve"> Sustituto del  Director Técnico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</si>
  <si>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</si>
  <si>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</si>
  <si>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</si>
  <si>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</si>
  <si>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</si>
  <si>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</si>
  <si>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</si>
  <si>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</si>
  <si>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</si>
  <si>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</si>
  <si>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</si>
  <si>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</si>
  <si>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</si>
  <si>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</si>
  <si>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</si>
  <si>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</si>
  <si>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</si>
  <si>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</si>
  <si>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</si>
  <si>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</si>
  <si>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</si>
  <si>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</si>
  <si>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</si>
  <si>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</si>
  <si>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TABLA DE CONVERSION                                        
Disponible en  https://www.nist.gov/physical-measurement-laboratory/nist-guide-si-appendix-b</t>
  </si>
  <si>
    <t>Acero inoxidable</t>
  </si>
  <si>
    <t>Recipiente volumétrico</t>
  </si>
  <si>
    <t>Incertidumbre   ± U</t>
  </si>
  <si>
    <t>Dirección del Solicitante</t>
  </si>
  <si>
    <t>AK  50 # 26-55 Int 2,  piso 5.</t>
  </si>
  <si>
    <t>Bogotá D.C.</t>
  </si>
  <si>
    <t>5 gal</t>
  </si>
  <si>
    <t>Ancho de los trazos de la escala (mm)</t>
  </si>
  <si>
    <t>INM 3998</t>
  </si>
  <si>
    <t>INM 4006</t>
  </si>
  <si>
    <t>INM 2313</t>
  </si>
  <si>
    <t>INM 3997</t>
  </si>
  <si>
    <t>INM 4005</t>
  </si>
  <si>
    <t>INM 2316</t>
  </si>
  <si>
    <t>INM 3985</t>
  </si>
  <si>
    <t>INM 3987</t>
  </si>
  <si>
    <t>INM - 2314</t>
  </si>
  <si>
    <t>INM 3986</t>
  </si>
  <si>
    <t>INM 3988</t>
  </si>
  <si>
    <t>INM 2315</t>
  </si>
  <si>
    <t>21/05/2019 / - 23/05/2019 -    15/05/2019</t>
  </si>
  <si>
    <t>INM  3998- 4006-2313</t>
  </si>
  <si>
    <t>0,23.0714.0802.024 C-I V-002</t>
  </si>
  <si>
    <t>21/05/2019 /- 23/05/2019 -/  02/05/2019</t>
  </si>
  <si>
    <t>INM-3997, INM 4005 - INM 2316</t>
  </si>
  <si>
    <t>19506160802033 C-I M-012</t>
  </si>
  <si>
    <t>14/05/2019- 15/05/2019    15/05/2019</t>
  </si>
  <si>
    <t>INM 3985 - INM 3987 -   INM 2314</t>
  </si>
  <si>
    <t>0,26.0714.0802.024 C-I M-010</t>
  </si>
  <si>
    <t>14/05/2019 -/  15/05/2019 -   15/05/2019</t>
  </si>
  <si>
    <t>INM-3986-INM 3988-INM 2315</t>
  </si>
  <si>
    <t>19406160802033 C-I M-013</t>
  </si>
  <si>
    <r>
      <t>in</t>
    </r>
    <r>
      <rPr>
        <vertAlign val="superscript"/>
        <sz val="10"/>
        <color theme="1"/>
        <rFont val="Arial"/>
        <family val="2"/>
      </rPr>
      <t>3</t>
    </r>
  </si>
  <si>
    <t xml:space="preserve">16-5935702    C-I V-005         </t>
  </si>
  <si>
    <t>14-92812 C-I V-001</t>
  </si>
  <si>
    <t>INM 4216</t>
  </si>
  <si>
    <t>INM 4217</t>
  </si>
  <si>
    <t>Laboratorio, # de certificado y Año</t>
  </si>
  <si>
    <t>Incertidumbre (U)  del RVP C-I V-005</t>
  </si>
  <si>
    <t>Deriva (°C)</t>
  </si>
  <si>
    <t>Puntos de calibración</t>
  </si>
  <si>
    <t>Termometro V-004</t>
  </si>
  <si>
    <t>Incertidumbre (U)  del Termometro V-003 2017</t>
  </si>
  <si>
    <t>INM  (2549) 2017</t>
  </si>
  <si>
    <t>Incertidumbre (U)  del Termometro V-004 2017</t>
  </si>
  <si>
    <t>INM  (2550) 2017</t>
  </si>
  <si>
    <t>0,5 in3</t>
  </si>
  <si>
    <t>Recipiente Volumétrico</t>
  </si>
  <si>
    <t>Laboratorios de calibración de  volumen de la SIC,   AK  50 # 26-55 Int 2,  piso 5.</t>
  </si>
  <si>
    <t>"La incertidumbre expandida de la medición reportada se establece como la incertidumbre estándar de medición multiplicada por el factor de cobertura “k” y la probabilidad de cobertura, la cual debe ser aproximada al 95% y no menor a este valor".</t>
  </si>
  <si>
    <t>números:</t>
  </si>
  <si>
    <t>* Los laboratorios de la Superintendencia de Industria y Comercio no se responsabilizan del uso inadecuado del equipo calibrado.</t>
  </si>
  <si>
    <t>* Se adhiere al equipo calibrado una estampilla identificada con el número del  certificado.</t>
  </si>
  <si>
    <t>* El equipo  fue calibrado para suministrar líquido por el método volumétrico, usando agua potable.</t>
  </si>
  <si>
    <t>* El equipo no presenta daños superficiales.</t>
  </si>
  <si>
    <t>* Se efectuaron 3 ciclos de vaciado y llenado para determinar la capacidad del recipiente.</t>
  </si>
  <si>
    <t>* En el presente certificado se usa la coma “,” como separador decimal.</t>
  </si>
  <si>
    <t>* Este certificado de calibración no puede ser reproducido parcial ni totalmente,  excepto  con  autorización  del  laboratorio  de la Superintendencia de Industria y Comercio.</t>
  </si>
  <si>
    <t xml:space="preserve">* (* RVC) Recipiente Volumétrico Calibrado         (*RVP) Recipiente Volumétrico Patrón  </t>
  </si>
  <si>
    <r>
      <rPr>
        <b/>
        <sz val="12"/>
        <rFont val="Arial"/>
        <family val="2"/>
      </rPr>
      <t>*</t>
    </r>
    <r>
      <rPr>
        <sz val="12"/>
        <rFont val="Arial"/>
        <family val="2"/>
      </rPr>
      <t xml:space="preserve"> Los resultados obtenidos en el presente certificado se refieren al momento y condiciones en que se realizaron las mediciones.</t>
    </r>
  </si>
  <si>
    <t>* El certificado de calibración sin las firmas autorizadas no es válido.</t>
  </si>
  <si>
    <t>* Se realiza el pre-mojado con un llenado y  drenando en un tiempo mínimo  de 60 s ±10 s, incluyendo 30 segundos de escurrido, después de haber cesado el flujo principal.</t>
  </si>
  <si>
    <t>* Los resultados obtenidos en esta calibración, aplican a la información del equipo descrito en el numeral uno (1) del presente certificado.</t>
  </si>
  <si>
    <t>Deriva (mL) Anterior</t>
  </si>
  <si>
    <t>Actual mL</t>
  </si>
  <si>
    <t>Delta del volumen (mL)</t>
  </si>
  <si>
    <t>Promedio Corregido</t>
  </si>
  <si>
    <t>ANÁLISIS DE CAPACIDAD DE VOLUMEN (RVC) mL</t>
  </si>
  <si>
    <t>INM 2346</t>
  </si>
  <si>
    <t>2019-09-24 - / 2019-09-25 -    2019-08-25</t>
  </si>
  <si>
    <t>INM 4216 - INM 4217 -  INM 2346</t>
  </si>
  <si>
    <t>Modificación al certificado N°</t>
  </si>
  <si>
    <t>100.24</t>
  </si>
  <si>
    <t>Solicitante:</t>
  </si>
  <si>
    <t>Dirección:</t>
  </si>
  <si>
    <t>Ciudad:</t>
  </si>
  <si>
    <t>Fecha de recepción:</t>
  </si>
  <si>
    <t>Fecha de calibración:</t>
  </si>
  <si>
    <t>Para la calibración del recipiente volumétrico, se utilizó el método  establecido en el documento normativo Euramet cg-21, vr 1.0. (04/2013).</t>
  </si>
  <si>
    <t>Delta respecto a la lectura del menisco.</t>
  </si>
  <si>
    <t>Delta respecto a la repetibilidad de las mediciones.</t>
  </si>
  <si>
    <t>Delta respecto a factores adicionales.</t>
  </si>
  <si>
    <t>18 501,0 mL a 19 336,6 mL</t>
  </si>
  <si>
    <t>División mínima promedio de la escala:</t>
  </si>
  <si>
    <t xml:space="preserve">* Se instala el precinto de seguridad, sobre la escala de medición, identificado con los </t>
  </si>
  <si>
    <t>* Se realiza el pre-mojado con un llenado y  drenando en un tiempo mínimo  de 60 s ±10 s.</t>
  </si>
  <si>
    <r>
      <t>in</t>
    </r>
    <r>
      <rPr>
        <b/>
        <i/>
        <vertAlign val="superscript"/>
        <sz val="12"/>
        <color theme="1"/>
        <rFont val="Arial"/>
        <family val="2"/>
      </rPr>
      <t>3</t>
    </r>
  </si>
  <si>
    <t>* Este certificado de calibración no puede ser reproducido parcial, ni totalmente,  excepto  con  autorización  del  laboratorio  de la Superintendencia de Industria y Comercio.</t>
  </si>
  <si>
    <t>** Se efectuaron 3 ciclos de vaciado y llenado para determinar la capacidad del recipiente después de ajuste.</t>
  </si>
  <si>
    <t>** Para efectos de la calibración se tomo como referencia la escala izquierda de la reglilla graduada.</t>
  </si>
  <si>
    <t xml:space="preserve">* Se instala el precintos de seguridad, sobre la escala de medición, identificado con los </t>
  </si>
  <si>
    <t>** La escala fue verificada en el intervalo de medición 5 galones ±  1 %,± 10 in3.</t>
  </si>
  <si>
    <t>** para efectos de la calibración se tomo como referencia la escala izquierda de la reglilla graduada.</t>
  </si>
  <si>
    <t>Intervalo de Medida</t>
  </si>
  <si>
    <t>0 mL a 5 mL</t>
  </si>
  <si>
    <t>0 mL a 10 mL</t>
  </si>
  <si>
    <t>0 mL a 25 mL</t>
  </si>
  <si>
    <t>0 mL a 0mL</t>
  </si>
  <si>
    <t>14 °C a 22 °C</t>
  </si>
  <si>
    <r>
      <t>mL°C</t>
    </r>
    <r>
      <rPr>
        <vertAlign val="superscript"/>
        <sz val="10"/>
        <rFont val="Arial"/>
        <family val="2"/>
      </rPr>
      <t>-1</t>
    </r>
  </si>
  <si>
    <t>Promedio Corregido por temperatura en el líquido RVP</t>
  </si>
  <si>
    <t>Incertidumbre    ± U</t>
  </si>
  <si>
    <t>EMP</t>
  </si>
  <si>
    <t>| E |</t>
  </si>
  <si>
    <t>|E|+U</t>
  </si>
  <si>
    <t>|E|</t>
  </si>
  <si>
    <r>
      <t>|</t>
    </r>
    <r>
      <rPr>
        <b/>
        <sz val="11"/>
        <rFont val="Arial Narrow"/>
        <family val="2"/>
      </rPr>
      <t>E</t>
    </r>
    <r>
      <rPr>
        <b/>
        <i/>
        <sz val="11"/>
        <rFont val="Arial Narrow"/>
        <family val="2"/>
      </rPr>
      <t>|+U</t>
    </r>
  </si>
  <si>
    <t xml:space="preserve">                         Calibrado por:</t>
  </si>
  <si>
    <t xml:space="preserve">Fecha de elaboración:  </t>
  </si>
  <si>
    <t>XXXX-XX-XX</t>
  </si>
  <si>
    <t>* Los laboratorios de la Superintendencia de Industria y Comercio no se responsabilizan de los perjuicios que puedan derivarse del uso inadecuado del equipo calibrado.</t>
  </si>
  <si>
    <t xml:space="preserve">La declaración de conformidad se aplica teniendo en cuenta el error más la incertidumbre de medición, la cual no deberá superar los errores máximos permitidos (EMP), según lo definido en la OIML R 120:2010. </t>
  </si>
  <si>
    <r>
      <rPr>
        <b/>
        <sz val="12"/>
        <color theme="0"/>
        <rFont val="Arial"/>
        <family val="2"/>
      </rPr>
      <t>*</t>
    </r>
    <r>
      <rPr>
        <sz val="12"/>
        <color theme="0"/>
        <rFont val="Arial"/>
        <family val="2"/>
      </rPr>
      <t xml:space="preserve"> Los resultados obtenidos en el presente certificado se refieren al momento y condiciones en que se realizaron las mediciones.</t>
    </r>
  </si>
  <si>
    <r>
      <t xml:space="preserve">** La escala fue verificada en el intervalo de medición 5 galones ±  1 %, </t>
    </r>
    <r>
      <rPr>
        <sz val="12"/>
        <color theme="0"/>
        <rFont val="Tahoma"/>
        <family val="2"/>
      </rPr>
      <t>±</t>
    </r>
    <r>
      <rPr>
        <sz val="21.6"/>
        <color theme="0"/>
        <rFont val="Arial"/>
        <family val="2"/>
      </rPr>
      <t xml:space="preserve"> </t>
    </r>
    <r>
      <rPr>
        <sz val="12"/>
        <color theme="0"/>
        <rFont val="Arial"/>
        <family val="2"/>
      </rPr>
      <t>10 in</t>
    </r>
    <r>
      <rPr>
        <vertAlign val="superscript"/>
        <sz val="12"/>
        <color theme="0"/>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</si>
</sst>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0.00000"/>
    <numFmt numFmtId="165" formatCode="0.0000"/>
    <numFmt numFmtId="166" formatCode="0.000"/>
    <numFmt numFmtId="167" formatCode="0.0"/>
    <numFmt numFmtId="168" formatCode="0.000E+00"/>
    <numFmt numFmtId="169" formatCode="0.000000"/>
    <numFmt numFmtId="170" formatCode="yyyy\-mm\-dd;@"/>
    <numFmt numFmtId="171" formatCode="0.000000000"/>
    <numFmt numFmtId="172" formatCode="0.00000000"/>
    <numFmt numFmtId="173" formatCode="0.0000000"/>
    <numFmt numFmtId="174" formatCode="0.0_ \ &quot;%rH&quot;"/>
    <numFmt numFmtId="175" formatCode="0.0_ \ &quot;hPa&quot;"/>
    <numFmt numFmtId="176" formatCode="0.0_ \ &quot;°C&quot;"/>
    <numFmt numFmtId="177" formatCode="0\ &quot;°C&quot;"/>
    <numFmt numFmtId="178" formatCode="&quot; K=&quot;0.00"/>
    <numFmt numFmtId="179" formatCode="#,##0.0"/>
    <numFmt numFmtId="180" formatCode="#,##0.000"/>
    <numFmt numFmtId="181" formatCode="#\ ##0.00"/>
    <numFmt numFmtId="182" formatCode="0\ 000.0"/>
    <numFmt numFmtId="183" formatCode="0.00\ &quot;mL&quot;"/>
    <numFmt numFmtId="184" formatCode="\5\ &quot;gal&quot;"/>
    <numFmt numFmtId="185" formatCode="00\ 000.0"/>
    <numFmt numFmtId="186" formatCode="0\ 000.00"/>
  </numFmts>
  <fonts count="94" x14ac:knownFonts="1">
    <font>
      <sz val="11"/>
      <color theme="1"/>
      <name val="Calibri"/>
      <family val="2"/>
      <scheme val="minor"/>
    </font>
    <font>
      <b/>
      <sz val="12"/>
      <color theme="1"/>
      <name val="Arial"/>
      <family val="2"/>
    </font>
    <font>
      <sz val="12"/>
      <color theme="1"/>
      <name val="Arial"/>
      <family val="2"/>
    </font>
    <font>
      <sz val="11"/>
      <color theme="1"/>
      <name val="Arial"/>
      <family val="2"/>
    </font>
    <font>
      <b/>
      <sz val="14"/>
      <color theme="1"/>
      <name val="Arial"/>
      <family val="2"/>
    </font>
    <font>
      <sz val="14"/>
      <color theme="1"/>
      <name val="Arial"/>
      <family val="2"/>
    </font>
    <font>
      <b/>
      <sz val="12"/>
      <color rgb="FF000000"/>
      <name val="Arial"/>
      <family val="2"/>
    </font>
    <font>
      <b/>
      <sz val="10"/>
      <color theme="1"/>
      <name val="Arial"/>
      <family val="2"/>
    </font>
    <font>
      <b/>
      <sz val="10"/>
      <color rgb="FF000000"/>
      <name val="Arial"/>
      <family val="2"/>
    </font>
    <font>
      <sz val="12"/>
      <color theme="1"/>
      <name val="Arial Narrow"/>
      <family val="2"/>
    </font>
    <font>
      <sz val="14"/>
      <name val="Arial"/>
      <family val="2"/>
    </font>
    <font>
      <vertAlign val="subscript"/>
      <sz val="16"/>
      <color theme="1"/>
      <name val="Arial"/>
      <family val="2"/>
    </font>
    <font>
      <sz val="16"/>
      <color theme="1"/>
      <name val="Arial"/>
      <family val="2"/>
    </font>
    <font>
      <sz val="12"/>
      <color rgb="FF006100"/>
      <name val="Tahoma"/>
      <family val="2"/>
    </font>
    <font>
      <b/>
      <sz val="18"/>
      <name val="Arial"/>
      <family val="2"/>
    </font>
    <font>
      <b/>
      <sz val="12"/>
      <color theme="0"/>
      <name val="Arial"/>
      <family val="2"/>
    </font>
    <font>
      <b/>
      <sz val="12"/>
      <name val="Arial"/>
      <family val="2"/>
    </font>
    <font>
      <i/>
      <sz val="12"/>
      <color theme="1"/>
      <name val="Arial"/>
      <family val="2"/>
    </font>
    <font>
      <b/>
      <sz val="10"/>
      <name val="Arial"/>
      <family val="2"/>
    </font>
    <font>
      <b/>
      <sz val="10"/>
      <color theme="0"/>
      <name val="Arial"/>
      <family val="2"/>
    </font>
    <font>
      <sz val="10"/>
      <color theme="1"/>
      <name val="Arial"/>
      <family val="2"/>
    </font>
    <font>
      <b/>
      <vertAlign val="subscript"/>
      <sz val="12"/>
      <color theme="1"/>
      <name val="Arial"/>
      <family val="2"/>
    </font>
    <font>
      <b/>
      <sz val="20"/>
      <color theme="0"/>
      <name val="Arial"/>
      <family val="2"/>
    </font>
    <font>
      <b/>
      <sz val="14"/>
      <color theme="0"/>
      <name val="Arial"/>
      <family val="2"/>
    </font>
    <font>
      <b/>
      <sz val="9"/>
      <color theme="1"/>
      <name val="Arial"/>
      <family val="2"/>
    </font>
    <font>
      <b/>
      <sz val="8"/>
      <color theme="1"/>
      <name val="Arial"/>
      <family val="2"/>
    </font>
    <font>
      <b/>
      <sz val="14"/>
      <color rgb="FF000000"/>
      <name val="Arial"/>
      <family val="2"/>
    </font>
    <font>
      <b/>
      <vertAlign val="superscript"/>
      <sz val="14"/>
      <color rgb="FF000000"/>
      <name val="Arial"/>
      <family val="2"/>
    </font>
    <font>
      <u/>
      <sz val="10"/>
      <color theme="1"/>
      <name val="Arial"/>
      <family val="2"/>
    </font>
    <font>
      <b/>
      <vertAlign val="superscript"/>
      <sz val="10"/>
      <color theme="1"/>
      <name val="Arial"/>
      <family val="2"/>
    </font>
    <font>
      <b/>
      <sz val="11"/>
      <color theme="1"/>
      <name val="Arial"/>
      <family val="2"/>
    </font>
    <font>
      <i/>
      <vertAlign val="subscript"/>
      <sz val="12"/>
      <color theme="1"/>
      <name val="Arial"/>
      <family val="2"/>
    </font>
    <font>
      <vertAlign val="subscript"/>
      <sz val="12"/>
      <color theme="1"/>
      <name val="Arial"/>
      <family val="2"/>
    </font>
    <font>
      <vertAlign val="superscript"/>
      <sz val="10"/>
      <color theme="1"/>
      <name val="Arial"/>
      <family val="2"/>
    </font>
    <font>
      <vertAlign val="superscript"/>
      <sz val="14"/>
      <color theme="1"/>
      <name val="Arial"/>
      <family val="2"/>
    </font>
    <font>
      <b/>
      <sz val="11"/>
      <color theme="0"/>
      <name val="Arial"/>
      <family val="2"/>
    </font>
    <font>
      <b/>
      <i/>
      <sz val="11"/>
      <color theme="0"/>
      <name val="Arial"/>
      <family val="2"/>
    </font>
    <font>
      <sz val="10"/>
      <color theme="0"/>
      <name val="Arial"/>
      <family val="2"/>
    </font>
    <font>
      <sz val="11"/>
      <color theme="0"/>
      <name val="Arial"/>
      <family val="2"/>
    </font>
    <font>
      <sz val="10"/>
      <name val="Arial"/>
      <family val="2"/>
    </font>
    <font>
      <b/>
      <i/>
      <sz val="12"/>
      <color theme="1"/>
      <name val="Arial"/>
      <family val="2"/>
    </font>
    <font>
      <b/>
      <i/>
      <vertAlign val="subscript"/>
      <sz val="12"/>
      <color theme="1"/>
      <name val="Arial"/>
      <family val="2"/>
    </font>
    <font>
      <b/>
      <sz val="8"/>
      <color theme="0"/>
      <name val="Arial"/>
      <family val="2"/>
    </font>
    <font>
      <vertAlign val="superscript"/>
      <sz val="10"/>
      <name val="Arial"/>
      <family val="2"/>
    </font>
    <font>
      <b/>
      <sz val="16"/>
      <color theme="0"/>
      <name val="Arial"/>
      <family val="2"/>
    </font>
    <font>
      <b/>
      <sz val="16"/>
      <color theme="1"/>
      <name val="Arial"/>
      <family val="2"/>
    </font>
    <font>
      <sz val="16"/>
      <name val="Arial"/>
      <family val="2"/>
    </font>
    <font>
      <b/>
      <sz val="7"/>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rgb="FFFFFFFF"/>
      <name val="Arial"/>
      <family val="2"/>
    </font>
    <font>
      <sz val="14"/>
      <color theme="0"/>
      <name val="Arial"/>
      <family val="2"/>
    </font>
    <font>
      <sz val="12"/>
      <name val="Arial Narrow"/>
      <family val="2"/>
    </font>
    <font>
      <sz val="8"/>
      <color theme="1"/>
      <name val="Arial"/>
      <family val="2"/>
    </font>
    <font>
      <sz val="12"/>
      <color rgb="FF000000"/>
      <name val="Arial"/>
      <family val="2"/>
    </font>
    <font>
      <sz val="12"/>
      <name val="Arial"/>
      <family val="2"/>
    </font>
    <font>
      <b/>
      <sz val="14"/>
      <name val="Arial"/>
      <family val="2"/>
    </font>
    <font>
      <b/>
      <vertAlign val="superscript"/>
      <sz val="10"/>
      <name val="Arial"/>
      <family val="2"/>
    </font>
    <font>
      <vertAlign val="superscript"/>
      <sz val="12"/>
      <name val="Arial"/>
      <family val="2"/>
    </font>
    <font>
      <sz val="12"/>
      <color theme="0"/>
      <name val="Arial"/>
      <family val="2"/>
    </font>
    <font>
      <b/>
      <i/>
      <sz val="10"/>
      <color theme="1"/>
      <name val="Arial"/>
      <family val="2"/>
    </font>
    <font>
      <b/>
      <i/>
      <sz val="12"/>
      <name val="Arial"/>
      <family val="2"/>
    </font>
    <font>
      <b/>
      <i/>
      <sz val="14"/>
      <color theme="0"/>
      <name val="Arial"/>
      <family val="2"/>
    </font>
    <font>
      <b/>
      <i/>
      <vertAlign val="superscript"/>
      <sz val="12"/>
      <color theme="1"/>
      <name val="Arial"/>
      <family val="2"/>
    </font>
    <font>
      <b/>
      <i/>
      <sz val="16"/>
      <name val="Arial"/>
      <family val="2"/>
    </font>
    <font>
      <sz val="11"/>
      <name val="Calibri"/>
      <family val="2"/>
      <scheme val="minor"/>
    </font>
    <font>
      <b/>
      <i/>
      <sz val="10"/>
      <color theme="0"/>
      <name val="Arial"/>
      <family val="2"/>
    </font>
    <font>
      <sz val="11"/>
      <color rgb="FF006100"/>
      <name val="Calibri"/>
      <family val="2"/>
      <scheme val="minor"/>
    </font>
    <font>
      <i/>
      <sz val="10"/>
      <color theme="1"/>
      <name val="Arial"/>
      <family val="2"/>
    </font>
    <font>
      <i/>
      <sz val="11"/>
      <color theme="1"/>
      <name val="Arial"/>
      <family val="2"/>
    </font>
    <font>
      <vertAlign val="superscript"/>
      <sz val="14"/>
      <color rgb="FFFFFFFF"/>
      <name val="Arial"/>
      <family val="2"/>
    </font>
    <font>
      <b/>
      <vertAlign val="superscript"/>
      <sz val="18"/>
      <color rgb="FFFFFFFF"/>
      <name val="Arial"/>
      <family val="2"/>
    </font>
    <font>
      <sz val="11"/>
      <color rgb="FFFFFFFF"/>
      <name val="Arial"/>
      <family val="2"/>
    </font>
    <font>
      <b/>
      <vertAlign val="superscript"/>
      <sz val="18"/>
      <color theme="1"/>
      <name val="Arial"/>
      <family val="2"/>
    </font>
    <font>
      <b/>
      <i/>
      <sz val="12"/>
      <name val="Tahoma"/>
      <family val="2"/>
    </font>
    <font>
      <b/>
      <sz val="12"/>
      <color theme="1"/>
      <name val="Arial Narrow"/>
      <family val="2"/>
    </font>
    <font>
      <b/>
      <i/>
      <sz val="12"/>
      <color theme="1"/>
      <name val="Arial Narrow"/>
      <family val="2"/>
    </font>
    <font>
      <b/>
      <i/>
      <sz val="11"/>
      <color theme="1"/>
      <name val="Arial"/>
      <family val="2"/>
    </font>
    <font>
      <sz val="11"/>
      <color theme="1"/>
      <name val="Arial Narrow"/>
      <family val="2"/>
    </font>
    <font>
      <sz val="10"/>
      <color theme="1"/>
      <name val="Arial Narrow"/>
      <family val="2"/>
    </font>
    <font>
      <sz val="11"/>
      <name val="Arial Narrow"/>
      <family val="2"/>
    </font>
    <font>
      <b/>
      <i/>
      <sz val="11"/>
      <name val="Arial Narrow"/>
      <family val="2"/>
    </font>
    <font>
      <b/>
      <i/>
      <sz val="12"/>
      <name val="Arial Narrow"/>
      <family val="2"/>
    </font>
    <font>
      <b/>
      <sz val="11"/>
      <name val="Arial Narrow"/>
      <family val="2"/>
    </font>
    <font>
      <sz val="12"/>
      <color theme="0"/>
      <name val="Arial Narrow"/>
      <family val="2"/>
    </font>
    <font>
      <sz val="12"/>
      <color theme="0"/>
      <name val="Tahoma"/>
      <family val="2"/>
    </font>
    <font>
      <sz val="21.6"/>
      <color theme="0"/>
      <name val="Arial"/>
      <family val="2"/>
    </font>
    <font>
      <vertAlign val="superscript"/>
      <sz val="12"/>
      <color theme="0"/>
      <name val="Arial"/>
      <family val="2"/>
    </font>
  </fonts>
  <fills count="3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5FF3CB"/>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theme="8" tint="0.39997558519241921"/>
        <bgColor indexed="64"/>
      </patternFill>
    </fill>
    <fill>
      <patternFill patternType="solid">
        <fgColor rgb="FFAFDF9F"/>
        <bgColor indexed="64"/>
      </patternFill>
    </fill>
    <fill>
      <patternFill patternType="solid">
        <fgColor rgb="FFFFFFFF"/>
        <bgColor indexed="64"/>
      </patternFill>
    </fill>
    <fill>
      <patternFill patternType="solid">
        <fgColor rgb="FFFF9999"/>
        <bgColor indexed="64"/>
      </patternFill>
    </fill>
  </fills>
  <borders count="8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s>
  <cellStyleXfs count="11">
    <xf numFmtId="0" fontId="0" fillId="0" borderId="0"/>
    <xf numFmtId="0" fontId="13" fillId="10" borderId="0" applyNumberFormat="0" applyBorder="0" applyAlignment="0" applyProtection="0"/>
    <xf numFmtId="0" fontId="20" fillId="22" borderId="8">
      <alignment horizontal="center" vertical="center" wrapText="1"/>
    </xf>
    <xf numFmtId="0" fontId="20" fillId="14" borderId="8">
      <alignment horizontal="center" vertical="center" wrapText="1"/>
    </xf>
    <xf numFmtId="0" fontId="20" fillId="23" borderId="8">
      <alignment horizontal="center" vertical="center" wrapText="1"/>
    </xf>
    <xf numFmtId="0" fontId="9" fillId="2" borderId="0">
      <alignment horizontal="center"/>
    </xf>
    <xf numFmtId="0" fontId="9" fillId="24" borderId="0">
      <alignment horizontal="center"/>
    </xf>
    <xf numFmtId="0" fontId="20" fillId="9" borderId="9">
      <alignment horizontal="center"/>
    </xf>
    <xf numFmtId="0" fontId="73" fillId="10" borderId="0" applyNumberFormat="0" applyBorder="0" applyAlignment="0" applyProtection="0"/>
    <xf numFmtId="2" fontId="20" fillId="28" borderId="40" applyFont="0" applyBorder="0" applyAlignment="0">
      <alignment horizontal="center" vertical="center" wrapText="1"/>
      <protection locked="0"/>
    </xf>
    <xf numFmtId="0" fontId="2" fillId="29" borderId="9" applyBorder="0">
      <alignment horizontal="center" vertical="center"/>
    </xf>
  </cellStyleXfs>
  <cellXfs count="1783">
    <xf numFmtId="0" fontId="0" fillId="0" borderId="0" xfId="0"/>
    <xf numFmtId="0" fontId="20" fillId="2" borderId="7" xfId="0" applyFont="1" applyFill="1" applyBorder="1" applyAlignment="1" applyProtection="1">
      <alignment vertical="center" wrapText="1"/>
      <protection hidden="1"/>
    </xf>
    <xf numFmtId="0" fontId="20" fillId="0" borderId="0" xfId="0" applyFont="1" applyAlignment="1" applyProtection="1">
      <alignment vertical="center" wrapText="1"/>
      <protection hidden="1"/>
    </xf>
    <xf numFmtId="0" fontId="20" fillId="0" borderId="0" xfId="0" applyFont="1" applyFill="1" applyBorder="1" applyAlignment="1" applyProtection="1">
      <alignment horizontal="center" vertical="center" wrapText="1"/>
      <protection hidden="1"/>
    </xf>
    <xf numFmtId="0" fontId="20" fillId="0" borderId="0" xfId="0" applyFont="1" applyFill="1" applyBorder="1" applyAlignment="1" applyProtection="1">
      <alignment vertical="center" wrapText="1"/>
      <protection hidden="1"/>
    </xf>
    <xf numFmtId="0" fontId="22" fillId="0" borderId="0" xfId="0" applyFont="1" applyFill="1" applyBorder="1" applyAlignment="1" applyProtection="1">
      <alignment horizontal="center" vertical="center" wrapText="1"/>
      <protection hidden="1"/>
    </xf>
    <xf numFmtId="0" fontId="20" fillId="0" borderId="0" xfId="0" applyFont="1" applyFill="1" applyAlignment="1" applyProtection="1">
      <alignment vertical="center" wrapText="1"/>
      <protection hidden="1"/>
    </xf>
    <xf numFmtId="0" fontId="20" fillId="2" borderId="0" xfId="0" applyFont="1" applyFill="1" applyAlignment="1" applyProtection="1">
      <alignment vertical="center" wrapText="1"/>
      <protection hidden="1"/>
    </xf>
    <xf numFmtId="0" fontId="20" fillId="2" borderId="0" xfId="0" applyFont="1" applyFill="1" applyBorder="1" applyAlignment="1" applyProtection="1">
      <alignment horizontal="center" vertical="center" wrapText="1"/>
      <protection hidden="1"/>
    </xf>
    <xf numFmtId="0" fontId="20" fillId="0" borderId="0" xfId="0" applyFont="1" applyBorder="1" applyAlignment="1" applyProtection="1">
      <alignment vertical="center" wrapText="1"/>
      <protection hidden="1"/>
    </xf>
    <xf numFmtId="0" fontId="20" fillId="2" borderId="0" xfId="0" applyFont="1" applyFill="1" applyBorder="1" applyAlignment="1" applyProtection="1">
      <alignment vertical="center" wrapText="1"/>
      <protection hidden="1"/>
    </xf>
    <xf numFmtId="0" fontId="28" fillId="2" borderId="0" xfId="0" applyFont="1" applyFill="1" applyBorder="1" applyAlignment="1" applyProtection="1">
      <alignment vertical="center" wrapText="1"/>
      <protection hidden="1"/>
    </xf>
    <xf numFmtId="2" fontId="20" fillId="7" borderId="9" xfId="0" applyNumberFormat="1" applyFont="1" applyFill="1" applyBorder="1" applyAlignment="1" applyProtection="1">
      <alignment horizontal="center" vertical="center" wrapText="1"/>
      <protection hidden="1"/>
    </xf>
    <xf numFmtId="0" fontId="3" fillId="2" borderId="0" xfId="0" applyFont="1" applyFill="1" applyAlignment="1" applyProtection="1">
      <alignment vertical="center" wrapText="1"/>
      <protection hidden="1"/>
    </xf>
    <xf numFmtId="0" fontId="3" fillId="2" borderId="0" xfId="0" applyFont="1" applyFill="1" applyBorder="1" applyAlignment="1" applyProtection="1">
      <alignment vertical="center" wrapText="1"/>
      <protection hidden="1"/>
    </xf>
    <xf numFmtId="0" fontId="3" fillId="0" borderId="0" xfId="0" applyFont="1" applyAlignment="1" applyProtection="1">
      <alignment vertical="center" wrapText="1"/>
      <protection hidden="1"/>
    </xf>
    <xf numFmtId="0" fontId="12" fillId="2" borderId="0" xfId="0" applyFont="1" applyFill="1" applyBorder="1" applyAlignment="1" applyProtection="1">
      <alignment vertical="center" wrapText="1"/>
      <protection hidden="1"/>
    </xf>
    <xf numFmtId="2" fontId="20" fillId="7" borderId="34" xfId="0" applyNumberFormat="1" applyFont="1" applyFill="1" applyBorder="1" applyAlignment="1" applyProtection="1">
      <alignment horizontal="center" vertical="center" wrapText="1"/>
      <protection hidden="1"/>
    </xf>
    <xf numFmtId="11" fontId="20" fillId="7" borderId="9" xfId="0" applyNumberFormat="1" applyFont="1" applyFill="1" applyBorder="1" applyAlignment="1" applyProtection="1">
      <alignment horizontal="center" vertical="center" wrapText="1"/>
      <protection hidden="1"/>
    </xf>
    <xf numFmtId="0" fontId="15" fillId="8" borderId="47" xfId="0" applyFont="1" applyFill="1" applyBorder="1" applyAlignment="1" applyProtection="1">
      <alignment horizontal="center" vertical="center" wrapText="1"/>
      <protection hidden="1"/>
    </xf>
    <xf numFmtId="11" fontId="20" fillId="5" borderId="46" xfId="0" applyNumberFormat="1" applyFont="1" applyFill="1" applyBorder="1" applyAlignment="1" applyProtection="1">
      <alignment horizontal="center" vertical="center" wrapText="1"/>
      <protection hidden="1"/>
    </xf>
    <xf numFmtId="0" fontId="20" fillId="5" borderId="61" xfId="0" applyFont="1" applyFill="1" applyBorder="1" applyAlignment="1" applyProtection="1">
      <alignment horizontal="center" vertical="center" wrapText="1"/>
      <protection hidden="1"/>
    </xf>
    <xf numFmtId="0" fontId="20" fillId="2" borderId="13" xfId="0" applyFont="1" applyFill="1" applyBorder="1" applyAlignment="1" applyProtection="1">
      <alignment vertical="center" wrapText="1"/>
      <protection hidden="1"/>
    </xf>
    <xf numFmtId="0" fontId="19" fillId="2" borderId="0" xfId="0" applyFont="1" applyFill="1" applyBorder="1" applyAlignment="1" applyProtection="1">
      <alignment horizontal="center" vertical="center" wrapText="1"/>
      <protection hidden="1"/>
    </xf>
    <xf numFmtId="0" fontId="37" fillId="2" borderId="0" xfId="0" applyFont="1" applyFill="1" applyBorder="1" applyAlignment="1" applyProtection="1">
      <alignment horizontal="center" vertical="center" wrapText="1"/>
      <protection hidden="1"/>
    </xf>
    <xf numFmtId="0" fontId="20" fillId="2" borderId="10" xfId="0" applyFont="1" applyFill="1" applyBorder="1" applyAlignment="1" applyProtection="1">
      <alignment vertical="center" wrapText="1"/>
      <protection hidden="1"/>
    </xf>
    <xf numFmtId="0" fontId="20" fillId="2" borderId="32" xfId="0" applyFont="1" applyFill="1" applyBorder="1" applyAlignment="1" applyProtection="1">
      <alignment vertical="center" wrapText="1"/>
      <protection hidden="1"/>
    </xf>
    <xf numFmtId="0" fontId="20" fillId="2" borderId="9" xfId="0" applyFont="1" applyFill="1" applyBorder="1" applyAlignment="1" applyProtection="1">
      <alignment vertical="center" wrapText="1"/>
      <protection hidden="1"/>
    </xf>
    <xf numFmtId="0" fontId="20" fillId="2" borderId="34" xfId="0" applyFont="1" applyFill="1" applyBorder="1" applyAlignment="1" applyProtection="1">
      <alignment vertical="center" wrapText="1"/>
      <protection hidden="1"/>
    </xf>
    <xf numFmtId="0" fontId="37" fillId="5" borderId="32" xfId="0" applyFont="1" applyFill="1" applyBorder="1" applyAlignment="1" applyProtection="1">
      <alignment horizontal="center" vertical="center" wrapText="1"/>
      <protection hidden="1"/>
    </xf>
    <xf numFmtId="166" fontId="20" fillId="7" borderId="9" xfId="0" applyNumberFormat="1" applyFont="1" applyFill="1" applyBorder="1" applyAlignment="1" applyProtection="1">
      <alignment horizontal="center" vertical="center" wrapText="1"/>
      <protection hidden="1"/>
    </xf>
    <xf numFmtId="166" fontId="20" fillId="7" borderId="34" xfId="0" applyNumberFormat="1" applyFont="1" applyFill="1" applyBorder="1" applyAlignment="1" applyProtection="1">
      <alignment horizontal="center" vertical="center" wrapText="1"/>
      <protection hidden="1"/>
    </xf>
    <xf numFmtId="0" fontId="20" fillId="5" borderId="32" xfId="0" applyFont="1" applyFill="1" applyBorder="1" applyAlignment="1" applyProtection="1">
      <alignment vertical="center" wrapText="1"/>
      <protection hidden="1"/>
    </xf>
    <xf numFmtId="0" fontId="20" fillId="7" borderId="34" xfId="0" applyFont="1" applyFill="1" applyBorder="1" applyAlignment="1" applyProtection="1">
      <alignment horizontal="center" vertical="center" wrapText="1"/>
      <protection hidden="1"/>
    </xf>
    <xf numFmtId="0" fontId="37" fillId="2" borderId="32" xfId="0" applyFont="1" applyFill="1" applyBorder="1" applyAlignment="1" applyProtection="1">
      <alignment horizontal="center" vertical="center" wrapText="1"/>
      <protection hidden="1"/>
    </xf>
    <xf numFmtId="11" fontId="20" fillId="7" borderId="34" xfId="0" applyNumberFormat="1" applyFont="1" applyFill="1" applyBorder="1" applyAlignment="1" applyProtection="1">
      <alignment horizontal="center" vertical="center" wrapText="1"/>
      <protection hidden="1"/>
    </xf>
    <xf numFmtId="0" fontId="37" fillId="5" borderId="43" xfId="0" applyFont="1" applyFill="1" applyBorder="1" applyAlignment="1" applyProtection="1">
      <alignment horizontal="center" vertical="center" wrapText="1"/>
      <protection hidden="1"/>
    </xf>
    <xf numFmtId="0" fontId="37" fillId="2" borderId="0" xfId="0" applyFont="1" applyFill="1" applyBorder="1" applyAlignment="1" applyProtection="1">
      <alignment vertical="center" wrapText="1"/>
      <protection hidden="1"/>
    </xf>
    <xf numFmtId="0" fontId="39" fillId="7" borderId="9" xfId="0" applyFont="1" applyFill="1" applyBorder="1" applyAlignment="1" applyProtection="1">
      <alignment horizontal="center" vertical="center" wrapText="1"/>
      <protection hidden="1"/>
    </xf>
    <xf numFmtId="0" fontId="39" fillId="5" borderId="9" xfId="0" applyFont="1" applyFill="1" applyBorder="1" applyAlignment="1" applyProtection="1">
      <alignment horizontal="center" vertical="center" wrapText="1"/>
      <protection hidden="1"/>
    </xf>
    <xf numFmtId="0" fontId="39" fillId="5" borderId="34" xfId="0" applyFont="1" applyFill="1" applyBorder="1" applyAlignment="1" applyProtection="1">
      <alignment horizontal="center" vertical="center" wrapText="1"/>
      <protection hidden="1"/>
    </xf>
    <xf numFmtId="0" fontId="39" fillId="5" borderId="44" xfId="0" applyFont="1" applyFill="1" applyBorder="1" applyAlignment="1" applyProtection="1">
      <alignment horizontal="center" vertical="center" wrapText="1"/>
      <protection hidden="1"/>
    </xf>
    <xf numFmtId="0" fontId="39" fillId="7" borderId="44" xfId="0" applyFont="1" applyFill="1" applyBorder="1" applyAlignment="1" applyProtection="1">
      <alignment horizontal="center" vertical="center" wrapText="1"/>
      <protection hidden="1"/>
    </xf>
    <xf numFmtId="0" fontId="39" fillId="5" borderId="37" xfId="0" applyFont="1" applyFill="1" applyBorder="1" applyAlignment="1" applyProtection="1">
      <alignment horizontal="center" vertical="center" wrapText="1"/>
      <protection hidden="1"/>
    </xf>
    <xf numFmtId="0" fontId="30" fillId="0" borderId="0" xfId="0" applyFont="1" applyFill="1" applyBorder="1" applyAlignment="1" applyProtection="1">
      <alignment vertical="center" wrapText="1"/>
      <protection hidden="1"/>
    </xf>
    <xf numFmtId="0" fontId="20" fillId="9" borderId="0" xfId="0" applyFont="1" applyFill="1" applyAlignment="1" applyProtection="1">
      <alignment vertical="center" wrapText="1"/>
      <protection hidden="1"/>
    </xf>
    <xf numFmtId="0" fontId="39" fillId="7" borderId="40" xfId="0" applyFont="1" applyFill="1" applyBorder="1" applyAlignment="1" applyProtection="1">
      <alignment horizontal="center" vertical="center" wrapText="1"/>
      <protection hidden="1"/>
    </xf>
    <xf numFmtId="0" fontId="39" fillId="5" borderId="40" xfId="0" applyFont="1" applyFill="1" applyBorder="1" applyAlignment="1" applyProtection="1">
      <alignment horizontal="center" vertical="center" wrapText="1"/>
      <protection hidden="1"/>
    </xf>
    <xf numFmtId="0" fontId="39" fillId="5" borderId="41" xfId="0" applyFont="1" applyFill="1" applyBorder="1" applyAlignment="1" applyProtection="1">
      <alignment horizontal="center" vertical="center" wrapText="1"/>
      <protection hidden="1"/>
    </xf>
    <xf numFmtId="0" fontId="45" fillId="0" borderId="0" xfId="0" applyFont="1" applyFill="1" applyBorder="1" applyAlignment="1" applyProtection="1">
      <alignment vertical="center" wrapText="1"/>
      <protection hidden="1"/>
    </xf>
    <xf numFmtId="0" fontId="45" fillId="2" borderId="0" xfId="0" applyFont="1" applyFill="1" applyBorder="1" applyAlignment="1" applyProtection="1">
      <alignment vertical="center" wrapText="1"/>
      <protection hidden="1"/>
    </xf>
    <xf numFmtId="2" fontId="20" fillId="2" borderId="0" xfId="0" applyNumberFormat="1" applyFont="1" applyFill="1" applyAlignment="1" applyProtection="1">
      <alignment horizontal="center" vertical="center" wrapText="1"/>
      <protection hidden="1"/>
    </xf>
    <xf numFmtId="167" fontId="20" fillId="2" borderId="0" xfId="0" applyNumberFormat="1" applyFont="1" applyFill="1" applyAlignment="1" applyProtection="1">
      <alignment vertical="center" wrapText="1"/>
      <protection hidden="1"/>
    </xf>
    <xf numFmtId="0" fontId="44" fillId="2" borderId="0" xfId="0" applyFont="1" applyFill="1" applyBorder="1" applyAlignment="1" applyProtection="1">
      <alignment vertical="center" wrapText="1"/>
      <protection hidden="1"/>
    </xf>
    <xf numFmtId="0" fontId="3" fillId="0" borderId="0" xfId="0" applyFont="1" applyProtection="1">
      <protection hidden="1"/>
    </xf>
    <xf numFmtId="0" fontId="20" fillId="7" borderId="9" xfId="0" applyFont="1" applyFill="1" applyBorder="1" applyAlignment="1" applyProtection="1">
      <alignment horizontal="center" vertical="center" wrapText="1"/>
      <protection hidden="1"/>
    </xf>
    <xf numFmtId="2" fontId="16" fillId="0" borderId="3" xfId="1" applyNumberFormat="1" applyFont="1" applyFill="1" applyBorder="1" applyAlignment="1" applyProtection="1">
      <alignment horizontal="center" vertical="center" wrapText="1"/>
      <protection hidden="1"/>
    </xf>
    <xf numFmtId="2" fontId="20" fillId="7" borderId="32" xfId="0" applyNumberFormat="1" applyFont="1" applyFill="1" applyBorder="1" applyAlignment="1" applyProtection="1">
      <alignment horizontal="center" vertical="center" wrapText="1"/>
      <protection hidden="1"/>
    </xf>
    <xf numFmtId="167" fontId="39" fillId="7" borderId="44" xfId="0" applyNumberFormat="1" applyFont="1" applyFill="1" applyBorder="1" applyAlignment="1" applyProtection="1">
      <alignment horizontal="center" vertical="center" wrapText="1"/>
      <protection hidden="1"/>
    </xf>
    <xf numFmtId="0" fontId="20" fillId="0" borderId="10" xfId="0" applyFont="1" applyBorder="1" applyAlignment="1" applyProtection="1">
      <alignment vertical="center" wrapText="1"/>
      <protection hidden="1"/>
    </xf>
    <xf numFmtId="0" fontId="20" fillId="2" borderId="49" xfId="0" applyFont="1" applyFill="1" applyBorder="1" applyAlignment="1" applyProtection="1">
      <alignment vertical="center" wrapText="1"/>
      <protection hidden="1"/>
    </xf>
    <xf numFmtId="2" fontId="48" fillId="16" borderId="19" xfId="1" applyNumberFormat="1" applyFont="1" applyFill="1" applyBorder="1" applyAlignment="1" applyProtection="1">
      <alignment horizontal="center" vertical="center"/>
      <protection hidden="1"/>
    </xf>
    <xf numFmtId="2" fontId="48" fillId="16" borderId="22" xfId="1" applyNumberFormat="1" applyFont="1" applyFill="1" applyBorder="1" applyAlignment="1" applyProtection="1">
      <alignment horizontal="center" vertical="center" wrapText="1"/>
      <protection hidden="1"/>
    </xf>
    <xf numFmtId="2" fontId="18" fillId="16" borderId="22" xfId="1" applyNumberFormat="1" applyFont="1" applyFill="1" applyBorder="1" applyAlignment="1" applyProtection="1">
      <alignment horizontal="center" vertical="center" wrapText="1"/>
      <protection hidden="1"/>
    </xf>
    <xf numFmtId="164" fontId="20" fillId="7" borderId="32" xfId="0" applyNumberFormat="1" applyFont="1" applyFill="1" applyBorder="1" applyAlignment="1" applyProtection="1">
      <alignment horizontal="center" vertical="center" wrapText="1"/>
      <protection hidden="1"/>
    </xf>
    <xf numFmtId="2" fontId="20" fillId="7" borderId="43" xfId="0" applyNumberFormat="1" applyFont="1" applyFill="1" applyBorder="1" applyAlignment="1" applyProtection="1">
      <alignment horizontal="center" vertical="center" wrapText="1"/>
      <protection hidden="1"/>
    </xf>
    <xf numFmtId="173" fontId="20" fillId="7" borderId="9" xfId="0" applyNumberFormat="1" applyFont="1" applyFill="1" applyBorder="1" applyAlignment="1" applyProtection="1">
      <alignment horizontal="center" vertical="center" wrapText="1"/>
      <protection hidden="1"/>
    </xf>
    <xf numFmtId="0" fontId="7" fillId="2" borderId="0" xfId="0" applyFont="1" applyFill="1" applyBorder="1" applyAlignment="1" applyProtection="1">
      <alignment horizontal="right" vertical="center" wrapText="1"/>
      <protection hidden="1"/>
    </xf>
    <xf numFmtId="0" fontId="20" fillId="26" borderId="4" xfId="0" applyFont="1" applyFill="1" applyBorder="1" applyAlignment="1" applyProtection="1">
      <alignment vertical="center" wrapText="1"/>
      <protection hidden="1"/>
    </xf>
    <xf numFmtId="0" fontId="20" fillId="26" borderId="38" xfId="0" applyFont="1" applyFill="1" applyBorder="1" applyAlignment="1" applyProtection="1">
      <alignment vertical="center" wrapText="1"/>
      <protection hidden="1"/>
    </xf>
    <xf numFmtId="0" fontId="20" fillId="26" borderId="49" xfId="0" applyFont="1" applyFill="1" applyBorder="1" applyAlignment="1" applyProtection="1">
      <alignment vertical="center" wrapText="1"/>
      <protection hidden="1"/>
    </xf>
    <xf numFmtId="0" fontId="20" fillId="26" borderId="2" xfId="0" applyFont="1" applyFill="1" applyBorder="1" applyAlignment="1" applyProtection="1">
      <alignment vertical="center" wrapText="1"/>
      <protection hidden="1"/>
    </xf>
    <xf numFmtId="0" fontId="20" fillId="26" borderId="47" xfId="0" applyFont="1" applyFill="1" applyBorder="1" applyAlignment="1" applyProtection="1">
      <alignment vertical="center" wrapText="1"/>
      <protection hidden="1"/>
    </xf>
    <xf numFmtId="0" fontId="20" fillId="26" borderId="10" xfId="0" applyFont="1" applyFill="1" applyBorder="1" applyAlignment="1" applyProtection="1">
      <alignment vertical="center" wrapText="1"/>
      <protection hidden="1"/>
    </xf>
    <xf numFmtId="0" fontId="20" fillId="26" borderId="70" xfId="0" applyFont="1" applyFill="1" applyBorder="1" applyAlignment="1" applyProtection="1">
      <alignment vertical="center" wrapText="1"/>
      <protection hidden="1"/>
    </xf>
    <xf numFmtId="0" fontId="7" fillId="26" borderId="71" xfId="0" applyFont="1" applyFill="1" applyBorder="1" applyAlignment="1" applyProtection="1">
      <alignment horizontal="center" vertical="center" wrapText="1"/>
      <protection hidden="1"/>
    </xf>
    <xf numFmtId="0" fontId="7" fillId="26" borderId="50" xfId="0" applyFont="1" applyFill="1" applyBorder="1" applyAlignment="1" applyProtection="1">
      <alignment horizontal="center" vertical="center" wrapText="1"/>
      <protection hidden="1"/>
    </xf>
    <xf numFmtId="0" fontId="2" fillId="0" borderId="0" xfId="0" applyFont="1" applyProtection="1">
      <protection hidden="1"/>
    </xf>
    <xf numFmtId="0" fontId="2" fillId="0" borderId="0" xfId="0" applyFont="1" applyBorder="1" applyProtection="1">
      <protection hidden="1"/>
    </xf>
    <xf numFmtId="0" fontId="2" fillId="0" borderId="6" xfId="0" applyFont="1" applyBorder="1" applyProtection="1">
      <protection hidden="1"/>
    </xf>
    <xf numFmtId="0" fontId="2" fillId="0" borderId="8" xfId="0" applyFont="1" applyBorder="1" applyProtection="1">
      <protection hidden="1"/>
    </xf>
    <xf numFmtId="2" fontId="20" fillId="15" borderId="40" xfId="0" applyNumberFormat="1" applyFont="1" applyFill="1" applyBorder="1" applyAlignment="1" applyProtection="1">
      <alignment horizontal="center" vertical="center" wrapText="1"/>
      <protection hidden="1"/>
    </xf>
    <xf numFmtId="14" fontId="20" fillId="12" borderId="40" xfId="0" applyNumberFormat="1" applyFont="1" applyFill="1" applyBorder="1" applyAlignment="1" applyProtection="1">
      <alignment horizontal="center" vertical="center" wrapText="1"/>
      <protection hidden="1"/>
    </xf>
    <xf numFmtId="0" fontId="20" fillId="15" borderId="40" xfId="0" applyFont="1" applyFill="1" applyBorder="1" applyAlignment="1" applyProtection="1">
      <alignment horizontal="center" vertical="center" wrapText="1"/>
      <protection hidden="1"/>
    </xf>
    <xf numFmtId="0" fontId="20" fillId="2" borderId="29" xfId="0" applyFont="1" applyFill="1" applyBorder="1" applyAlignment="1" applyProtection="1">
      <alignment horizontal="center" vertical="center" wrapText="1"/>
      <protection hidden="1"/>
    </xf>
    <xf numFmtId="166" fontId="20" fillId="15" borderId="9" xfId="0" applyNumberFormat="1" applyFont="1" applyFill="1" applyBorder="1" applyAlignment="1" applyProtection="1">
      <alignment horizontal="center" vertical="center" wrapText="1"/>
      <protection hidden="1"/>
    </xf>
    <xf numFmtId="14" fontId="20" fillId="12" borderId="9" xfId="0" applyNumberFormat="1" applyFont="1" applyFill="1" applyBorder="1" applyAlignment="1" applyProtection="1">
      <alignment horizontal="center" vertical="center"/>
      <protection hidden="1"/>
    </xf>
    <xf numFmtId="1" fontId="20" fillId="15" borderId="9" xfId="0" applyNumberFormat="1" applyFont="1" applyFill="1" applyBorder="1" applyAlignment="1" applyProtection="1">
      <alignment horizontal="center" vertical="center" wrapText="1"/>
      <protection hidden="1"/>
    </xf>
    <xf numFmtId="170" fontId="20" fillId="15" borderId="9" xfId="0" applyNumberFormat="1" applyFont="1" applyFill="1" applyBorder="1" applyAlignment="1" applyProtection="1">
      <alignment horizontal="center" vertical="center" wrapText="1"/>
      <protection hidden="1"/>
    </xf>
    <xf numFmtId="0" fontId="20" fillId="2" borderId="24" xfId="0" applyFont="1" applyFill="1" applyBorder="1" applyAlignment="1" applyProtection="1">
      <alignment horizontal="center" vertical="center" wrapText="1"/>
      <protection hidden="1"/>
    </xf>
    <xf numFmtId="0" fontId="20" fillId="0" borderId="24" xfId="0" applyFont="1" applyFill="1" applyBorder="1" applyAlignment="1" applyProtection="1">
      <alignment horizontal="center" vertical="center" wrapText="1"/>
      <protection hidden="1"/>
    </xf>
    <xf numFmtId="1" fontId="20" fillId="15" borderId="44" xfId="0" applyNumberFormat="1" applyFont="1" applyFill="1" applyBorder="1" applyAlignment="1" applyProtection="1">
      <alignment horizontal="center" vertical="center" wrapText="1"/>
      <protection hidden="1"/>
    </xf>
    <xf numFmtId="14" fontId="20" fillId="12" borderId="44" xfId="0" applyNumberFormat="1" applyFont="1" applyFill="1" applyBorder="1" applyAlignment="1" applyProtection="1">
      <alignment horizontal="center" vertical="center" wrapText="1"/>
      <protection hidden="1"/>
    </xf>
    <xf numFmtId="0" fontId="20" fillId="12" borderId="44" xfId="0" applyFont="1" applyFill="1" applyBorder="1" applyAlignment="1" applyProtection="1">
      <alignment horizontal="center" vertical="center" wrapText="1"/>
      <protection hidden="1"/>
    </xf>
    <xf numFmtId="170" fontId="20" fillId="15" borderId="44" xfId="0" applyNumberFormat="1" applyFont="1" applyFill="1" applyBorder="1" applyAlignment="1" applyProtection="1">
      <alignment horizontal="center" vertical="center" wrapText="1"/>
      <protection hidden="1"/>
    </xf>
    <xf numFmtId="0" fontId="20" fillId="0" borderId="46" xfId="0" applyFont="1" applyFill="1" applyBorder="1" applyAlignment="1" applyProtection="1">
      <alignment horizontal="center" vertical="center" wrapText="1"/>
      <protection hidden="1"/>
    </xf>
    <xf numFmtId="0" fontId="20" fillId="12" borderId="34" xfId="0" applyFont="1" applyFill="1" applyBorder="1" applyAlignment="1" applyProtection="1">
      <alignment horizontal="center" vertical="center" wrapText="1"/>
      <protection hidden="1"/>
    </xf>
    <xf numFmtId="165" fontId="20" fillId="12" borderId="34" xfId="0" applyNumberFormat="1" applyFont="1" applyFill="1" applyBorder="1" applyAlignment="1" applyProtection="1">
      <alignment horizontal="center" vertical="center" wrapText="1"/>
      <protection hidden="1"/>
    </xf>
    <xf numFmtId="2" fontId="20" fillId="12" borderId="34" xfId="0" applyNumberFormat="1" applyFont="1" applyFill="1" applyBorder="1" applyAlignment="1" applyProtection="1">
      <alignment horizontal="center" vertical="center" wrapText="1"/>
      <protection hidden="1"/>
    </xf>
    <xf numFmtId="2" fontId="20" fillId="12" borderId="9" xfId="0" applyNumberFormat="1" applyFont="1" applyFill="1" applyBorder="1" applyAlignment="1" applyProtection="1">
      <alignment horizontal="center" vertical="center" wrapText="1"/>
      <protection hidden="1"/>
    </xf>
    <xf numFmtId="165" fontId="20" fillId="12" borderId="37" xfId="0" applyNumberFormat="1" applyFont="1" applyFill="1" applyBorder="1" applyAlignment="1" applyProtection="1">
      <alignment horizontal="center" vertical="center" wrapText="1"/>
      <protection hidden="1"/>
    </xf>
    <xf numFmtId="0" fontId="20" fillId="20" borderId="37" xfId="0" applyFont="1" applyFill="1" applyBorder="1" applyAlignment="1" applyProtection="1">
      <alignment horizontal="center" vertical="center" wrapText="1"/>
      <protection hidden="1"/>
    </xf>
    <xf numFmtId="167" fontId="2" fillId="15" borderId="9" xfId="0" applyNumberFormat="1" applyFont="1" applyFill="1" applyBorder="1" applyAlignment="1" applyProtection="1">
      <alignment horizontal="center" vertical="center" wrapText="1"/>
      <protection hidden="1"/>
    </xf>
    <xf numFmtId="167" fontId="2" fillId="15" borderId="44" xfId="0" applyNumberFormat="1" applyFont="1" applyFill="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7" fillId="16" borderId="19" xfId="0" applyFont="1" applyFill="1" applyBorder="1" applyAlignment="1" applyProtection="1">
      <alignment horizontal="center" vertical="center" wrapText="1"/>
      <protection hidden="1"/>
    </xf>
    <xf numFmtId="11" fontId="20" fillId="12" borderId="9" xfId="0" applyNumberFormat="1" applyFont="1" applyFill="1" applyBorder="1" applyAlignment="1" applyProtection="1">
      <alignment horizontal="center" vertical="center" wrapText="1"/>
      <protection hidden="1"/>
    </xf>
    <xf numFmtId="0" fontId="20" fillId="5" borderId="34" xfId="0" applyFont="1" applyFill="1" applyBorder="1" applyAlignment="1" applyProtection="1">
      <alignment horizontal="center" vertical="center" wrapText="1"/>
      <protection hidden="1"/>
    </xf>
    <xf numFmtId="0" fontId="5" fillId="5" borderId="69" xfId="0" applyFont="1" applyFill="1" applyBorder="1" applyAlignment="1" applyProtection="1">
      <alignment horizontal="center" vertical="center" wrapText="1"/>
      <protection hidden="1"/>
    </xf>
    <xf numFmtId="169" fontId="20" fillId="12" borderId="34" xfId="0" applyNumberFormat="1" applyFont="1" applyFill="1" applyBorder="1" applyAlignment="1" applyProtection="1">
      <alignment horizontal="center" vertical="center" wrapText="1"/>
      <protection hidden="1"/>
    </xf>
    <xf numFmtId="0" fontId="20" fillId="2" borderId="23" xfId="0" applyFont="1" applyFill="1" applyBorder="1" applyAlignment="1" applyProtection="1">
      <alignment vertical="center" wrapText="1"/>
      <protection hidden="1"/>
    </xf>
    <xf numFmtId="2" fontId="20" fillId="12" borderId="37" xfId="0" applyNumberFormat="1" applyFont="1" applyFill="1" applyBorder="1" applyAlignment="1" applyProtection="1">
      <alignment horizontal="center" vertical="center" wrapText="1"/>
      <protection hidden="1"/>
    </xf>
    <xf numFmtId="0" fontId="20" fillId="2" borderId="52" xfId="0" applyFont="1" applyFill="1" applyBorder="1" applyAlignment="1" applyProtection="1">
      <alignment vertical="center" wrapText="1"/>
      <protection hidden="1"/>
    </xf>
    <xf numFmtId="0" fontId="20" fillId="5" borderId="23" xfId="0" applyFont="1" applyFill="1" applyBorder="1" applyAlignment="1" applyProtection="1">
      <alignment vertical="center" wrapText="1"/>
      <protection hidden="1"/>
    </xf>
    <xf numFmtId="0" fontId="3" fillId="2" borderId="23" xfId="0" applyFont="1" applyFill="1" applyBorder="1" applyAlignment="1" applyProtection="1">
      <alignment horizontal="left" vertical="center" wrapText="1"/>
      <protection hidden="1"/>
    </xf>
    <xf numFmtId="0" fontId="37" fillId="5" borderId="23" xfId="0" applyFont="1" applyFill="1" applyBorder="1" applyAlignment="1" applyProtection="1">
      <alignment vertical="center" wrapText="1"/>
      <protection hidden="1"/>
    </xf>
    <xf numFmtId="0" fontId="38" fillId="5" borderId="23" xfId="0" applyFont="1" applyFill="1" applyBorder="1" applyAlignment="1" applyProtection="1">
      <alignment horizontal="left" vertical="center" wrapText="1"/>
      <protection hidden="1"/>
    </xf>
    <xf numFmtId="14" fontId="39" fillId="5" borderId="9" xfId="0" applyNumberFormat="1" applyFont="1" applyFill="1" applyBorder="1" applyAlignment="1" applyProtection="1">
      <alignment horizontal="center" vertical="center" wrapText="1"/>
      <protection hidden="1"/>
    </xf>
    <xf numFmtId="169" fontId="39" fillId="7" borderId="9" xfId="0" applyNumberFormat="1" applyFont="1" applyFill="1" applyBorder="1" applyAlignment="1" applyProtection="1">
      <alignment horizontal="center" vertical="center" wrapText="1"/>
      <protection hidden="1"/>
    </xf>
    <xf numFmtId="165" fontId="39" fillId="7" borderId="9" xfId="0" applyNumberFormat="1" applyFont="1" applyFill="1" applyBorder="1" applyAlignment="1" applyProtection="1">
      <alignment horizontal="center" vertical="center" wrapText="1"/>
      <protection hidden="1"/>
    </xf>
    <xf numFmtId="165" fontId="39" fillId="5" borderId="9" xfId="0" applyNumberFormat="1" applyFont="1" applyFill="1" applyBorder="1" applyAlignment="1" applyProtection="1">
      <alignment horizontal="center" vertical="center" wrapText="1"/>
      <protection hidden="1"/>
    </xf>
    <xf numFmtId="1" fontId="39" fillId="7" borderId="9" xfId="0" applyNumberFormat="1" applyFont="1" applyFill="1" applyBorder="1" applyAlignment="1" applyProtection="1">
      <alignment horizontal="center" vertical="center" wrapText="1"/>
      <protection hidden="1"/>
    </xf>
    <xf numFmtId="173" fontId="39" fillId="7" borderId="9" xfId="0" applyNumberFormat="1" applyFont="1" applyFill="1" applyBorder="1" applyAlignment="1" applyProtection="1">
      <alignment horizontal="center" vertical="center" wrapText="1"/>
      <protection hidden="1"/>
    </xf>
    <xf numFmtId="172" fontId="39" fillId="7" borderId="9" xfId="0" applyNumberFormat="1" applyFont="1" applyFill="1" applyBorder="1" applyAlignment="1" applyProtection="1">
      <alignment horizontal="center" vertical="center" wrapText="1"/>
      <protection hidden="1"/>
    </xf>
    <xf numFmtId="167" fontId="39" fillId="7" borderId="9" xfId="0" applyNumberFormat="1" applyFont="1" applyFill="1" applyBorder="1" applyAlignment="1" applyProtection="1">
      <alignment horizontal="center" vertical="center" wrapText="1"/>
      <protection hidden="1"/>
    </xf>
    <xf numFmtId="165" fontId="3" fillId="0" borderId="9" xfId="0" applyNumberFormat="1" applyFont="1" applyFill="1" applyBorder="1" applyAlignment="1" applyProtection="1">
      <alignment horizontal="center" vertical="center" wrapText="1"/>
      <protection hidden="1"/>
    </xf>
    <xf numFmtId="164" fontId="39" fillId="0" borderId="9" xfId="0" applyNumberFormat="1" applyFont="1" applyFill="1" applyBorder="1" applyAlignment="1" applyProtection="1">
      <alignment horizontal="center" vertical="center" wrapText="1"/>
      <protection hidden="1"/>
    </xf>
    <xf numFmtId="14" fontId="39" fillId="0" borderId="9" xfId="0" applyNumberFormat="1" applyFont="1" applyFill="1" applyBorder="1" applyAlignment="1" applyProtection="1">
      <alignment horizontal="center" vertical="center" wrapText="1"/>
      <protection hidden="1"/>
    </xf>
    <xf numFmtId="164" fontId="39" fillId="0" borderId="23" xfId="0" applyNumberFormat="1" applyFont="1" applyFill="1" applyBorder="1" applyAlignment="1" applyProtection="1">
      <alignment horizontal="center" vertical="center" wrapText="1"/>
      <protection hidden="1"/>
    </xf>
    <xf numFmtId="0" fontId="39" fillId="0" borderId="23" xfId="0" applyFont="1" applyFill="1" applyBorder="1" applyAlignment="1" applyProtection="1">
      <alignment horizontal="center" vertical="center" wrapText="1"/>
      <protection hidden="1"/>
    </xf>
    <xf numFmtId="14" fontId="39" fillId="0" borderId="23" xfId="0" applyNumberFormat="1" applyFont="1" applyFill="1" applyBorder="1" applyAlignment="1" applyProtection="1">
      <alignment horizontal="center" vertical="center" wrapText="1"/>
      <protection hidden="1"/>
    </xf>
    <xf numFmtId="1" fontId="39" fillId="0" borderId="23" xfId="0" applyNumberFormat="1" applyFont="1" applyFill="1" applyBorder="1" applyAlignment="1" applyProtection="1">
      <alignment horizontal="center" vertical="center" wrapText="1"/>
      <protection hidden="1"/>
    </xf>
    <xf numFmtId="169" fontId="39" fillId="0" borderId="23" xfId="0" applyNumberFormat="1" applyFont="1" applyFill="1" applyBorder="1" applyAlignment="1" applyProtection="1">
      <alignment horizontal="center" vertical="center" wrapText="1"/>
      <protection hidden="1"/>
    </xf>
    <xf numFmtId="0" fontId="39" fillId="0" borderId="33" xfId="0" applyFont="1" applyFill="1" applyBorder="1" applyAlignment="1" applyProtection="1">
      <alignment horizontal="center" vertical="center" wrapText="1"/>
      <protection hidden="1"/>
    </xf>
    <xf numFmtId="166" fontId="39" fillId="7" borderId="9" xfId="0" applyNumberFormat="1" applyFont="1" applyFill="1" applyBorder="1" applyAlignment="1" applyProtection="1">
      <alignment horizontal="center" vertical="center" wrapText="1"/>
      <protection hidden="1"/>
    </xf>
    <xf numFmtId="171" fontId="37" fillId="2" borderId="23" xfId="0" applyNumberFormat="1" applyFont="1" applyFill="1" applyBorder="1" applyAlignment="1" applyProtection="1">
      <alignment horizontal="center" vertical="center" wrapText="1"/>
      <protection hidden="1"/>
    </xf>
    <xf numFmtId="164" fontId="39" fillId="7" borderId="9" xfId="0" applyNumberFormat="1" applyFont="1" applyFill="1" applyBorder="1" applyAlignment="1" applyProtection="1">
      <alignment horizontal="center" vertical="center" wrapText="1"/>
      <protection hidden="1"/>
    </xf>
    <xf numFmtId="2" fontId="39" fillId="7" borderId="9" xfId="0" applyNumberFormat="1" applyFont="1" applyFill="1" applyBorder="1" applyAlignment="1" applyProtection="1">
      <alignment horizontal="center" vertical="center" wrapText="1"/>
      <protection hidden="1"/>
    </xf>
    <xf numFmtId="11" fontId="39" fillId="7" borderId="9" xfId="0" applyNumberFormat="1" applyFont="1" applyFill="1" applyBorder="1" applyAlignment="1" applyProtection="1">
      <alignment horizontal="center" vertical="center" wrapText="1"/>
      <protection hidden="1"/>
    </xf>
    <xf numFmtId="169" fontId="20" fillId="7" borderId="9" xfId="0" applyNumberFormat="1" applyFont="1" applyFill="1" applyBorder="1" applyAlignment="1" applyProtection="1">
      <alignment horizontal="center" vertical="center" wrapText="1"/>
      <protection hidden="1"/>
    </xf>
    <xf numFmtId="0" fontId="20" fillId="2" borderId="2" xfId="0" applyFont="1" applyFill="1" applyBorder="1" applyAlignment="1" applyProtection="1">
      <alignment vertical="center" wrapText="1"/>
      <protection hidden="1"/>
    </xf>
    <xf numFmtId="167" fontId="2" fillId="6" borderId="9" xfId="0" applyNumberFormat="1" applyFont="1" applyFill="1" applyBorder="1" applyAlignment="1" applyProtection="1">
      <alignment horizontal="center" vertical="center" wrapText="1"/>
      <protection locked="0" hidden="1"/>
    </xf>
    <xf numFmtId="0" fontId="2" fillId="6" borderId="44" xfId="0" applyFont="1" applyFill="1" applyBorder="1" applyAlignment="1" applyProtection="1">
      <alignment horizontal="center" vertical="center" wrapText="1"/>
      <protection locked="0" hidden="1"/>
    </xf>
    <xf numFmtId="0" fontId="2" fillId="6" borderId="9" xfId="0" applyFont="1" applyFill="1" applyBorder="1" applyAlignment="1" applyProtection="1">
      <alignment horizontal="center" vertical="center" wrapText="1"/>
      <protection locked="0" hidden="1"/>
    </xf>
    <xf numFmtId="0" fontId="3" fillId="6" borderId="9" xfId="0" applyFont="1" applyFill="1" applyBorder="1" applyAlignment="1" applyProtection="1">
      <alignment horizontal="center" vertical="center"/>
      <protection locked="0" hidden="1"/>
    </xf>
    <xf numFmtId="0" fontId="3" fillId="6" borderId="9" xfId="0" applyFont="1" applyFill="1" applyBorder="1" applyAlignment="1" applyProtection="1">
      <alignment horizontal="center" vertical="center" wrapText="1"/>
      <protection locked="0" hidden="1"/>
    </xf>
    <xf numFmtId="0" fontId="3" fillId="6" borderId="34" xfId="0" applyFont="1" applyFill="1" applyBorder="1" applyAlignment="1" applyProtection="1">
      <alignment horizontal="center" vertical="center" wrapText="1"/>
      <protection locked="0" hidden="1"/>
    </xf>
    <xf numFmtId="0" fontId="3" fillId="6" borderId="37" xfId="0" applyFont="1" applyFill="1" applyBorder="1" applyAlignment="1" applyProtection="1">
      <alignment horizontal="center" vertical="center" wrapText="1"/>
      <protection locked="0" hidden="1"/>
    </xf>
    <xf numFmtId="0" fontId="9" fillId="24" borderId="1" xfId="6" applyBorder="1" applyAlignment="1" applyProtection="1">
      <alignment horizontal="center" vertical="center"/>
      <protection locked="0" hidden="1"/>
    </xf>
    <xf numFmtId="14" fontId="20" fillId="15" borderId="22" xfId="0" applyNumberFormat="1" applyFont="1" applyFill="1" applyBorder="1" applyAlignment="1" applyProtection="1">
      <alignment horizontal="center" vertical="center" wrapText="1"/>
      <protection hidden="1"/>
    </xf>
    <xf numFmtId="0" fontId="7" fillId="16" borderId="22" xfId="0" applyFont="1" applyFill="1" applyBorder="1" applyAlignment="1" applyProtection="1">
      <alignment horizontal="center" vertical="center" wrapText="1"/>
      <protection hidden="1"/>
    </xf>
    <xf numFmtId="0" fontId="7" fillId="16" borderId="22" xfId="0" applyFont="1" applyFill="1" applyBorder="1" applyAlignment="1" applyProtection="1">
      <alignment horizontal="center" vertical="top" wrapText="1"/>
      <protection hidden="1"/>
    </xf>
    <xf numFmtId="0" fontId="20" fillId="2" borderId="4" xfId="0" applyFont="1" applyFill="1" applyBorder="1" applyAlignment="1" applyProtection="1">
      <alignment horizontal="center" vertical="center" wrapText="1"/>
      <protection hidden="1"/>
    </xf>
    <xf numFmtId="0" fontId="20" fillId="2" borderId="49" xfId="0" applyFont="1" applyFill="1" applyBorder="1" applyAlignment="1" applyProtection="1">
      <alignment horizontal="center" vertical="center" wrapText="1"/>
      <protection hidden="1"/>
    </xf>
    <xf numFmtId="0" fontId="20" fillId="0" borderId="49" xfId="0" applyFont="1" applyFill="1" applyBorder="1" applyAlignment="1" applyProtection="1">
      <alignment horizontal="center" vertical="center" wrapText="1"/>
      <protection hidden="1"/>
    </xf>
    <xf numFmtId="14" fontId="20" fillId="12" borderId="11" xfId="0" applyNumberFormat="1" applyFont="1" applyFill="1" applyBorder="1" applyAlignment="1" applyProtection="1">
      <alignment horizontal="center" vertical="center" wrapText="1"/>
      <protection hidden="1"/>
    </xf>
    <xf numFmtId="0" fontId="20" fillId="0" borderId="38" xfId="0" applyFont="1" applyFill="1" applyBorder="1" applyAlignment="1" applyProtection="1">
      <alignment horizontal="center" vertical="center" wrapText="1"/>
      <protection hidden="1"/>
    </xf>
    <xf numFmtId="0" fontId="17" fillId="16" borderId="18" xfId="0" applyFont="1" applyFill="1" applyBorder="1" applyAlignment="1" applyProtection="1">
      <alignment horizontal="center" vertical="center" wrapText="1"/>
      <protection hidden="1"/>
    </xf>
    <xf numFmtId="0" fontId="17" fillId="16" borderId="36" xfId="0" applyFont="1" applyFill="1" applyBorder="1" applyAlignment="1" applyProtection="1">
      <alignment horizontal="center" vertical="center" wrapText="1"/>
      <protection hidden="1"/>
    </xf>
    <xf numFmtId="0" fontId="20" fillId="5" borderId="30" xfId="0" applyFont="1" applyFill="1" applyBorder="1" applyAlignment="1" applyProtection="1">
      <alignment horizontal="center" vertical="center" wrapText="1"/>
      <protection hidden="1"/>
    </xf>
    <xf numFmtId="0" fontId="20" fillId="5" borderId="18" xfId="0" applyFont="1" applyFill="1" applyBorder="1" applyAlignment="1" applyProtection="1">
      <alignment horizontal="center" vertical="center" wrapText="1"/>
      <protection hidden="1"/>
    </xf>
    <xf numFmtId="0" fontId="20" fillId="5" borderId="36" xfId="0" applyFont="1" applyFill="1" applyBorder="1" applyAlignment="1" applyProtection="1">
      <alignment horizontal="center" vertical="center" wrapText="1"/>
      <protection hidden="1"/>
    </xf>
    <xf numFmtId="0" fontId="5" fillId="18" borderId="68" xfId="0" applyFont="1" applyFill="1" applyBorder="1" applyAlignment="1" applyProtection="1">
      <alignment horizontal="center" vertical="center" wrapText="1"/>
      <protection hidden="1"/>
    </xf>
    <xf numFmtId="2" fontId="7" fillId="26" borderId="1" xfId="0" applyNumberFormat="1" applyFont="1" applyFill="1" applyBorder="1" applyAlignment="1" applyProtection="1">
      <alignment horizontal="center" vertical="center" wrapText="1"/>
      <protection hidden="1"/>
    </xf>
    <xf numFmtId="0" fontId="5" fillId="18" borderId="74" xfId="0" applyFont="1" applyFill="1" applyBorder="1" applyAlignment="1" applyProtection="1">
      <alignment horizontal="center" vertical="center" wrapText="1"/>
      <protection hidden="1"/>
    </xf>
    <xf numFmtId="2" fontId="7" fillId="26" borderId="50" xfId="0" applyNumberFormat="1" applyFont="1" applyFill="1" applyBorder="1" applyAlignment="1" applyProtection="1">
      <alignment horizontal="center" vertical="center" wrapText="1"/>
      <protection hidden="1"/>
    </xf>
    <xf numFmtId="168" fontId="39" fillId="7" borderId="44" xfId="0" applyNumberFormat="1" applyFont="1" applyFill="1" applyBorder="1" applyAlignment="1" applyProtection="1">
      <alignment horizontal="center" vertical="center" wrapText="1"/>
      <protection hidden="1"/>
    </xf>
    <xf numFmtId="169" fontId="39" fillId="7" borderId="44" xfId="0" applyNumberFormat="1" applyFont="1" applyFill="1" applyBorder="1" applyAlignment="1" applyProtection="1">
      <alignment horizontal="center" vertical="center" wrapText="1"/>
      <protection hidden="1"/>
    </xf>
    <xf numFmtId="173" fontId="39" fillId="7" borderId="44" xfId="0" applyNumberFormat="1" applyFont="1" applyFill="1" applyBorder="1" applyAlignment="1" applyProtection="1">
      <alignment horizontal="center" vertical="center" wrapText="1"/>
      <protection hidden="1"/>
    </xf>
    <xf numFmtId="172" fontId="39" fillId="7" borderId="44" xfId="0" applyNumberFormat="1" applyFont="1" applyFill="1" applyBorder="1" applyAlignment="1" applyProtection="1">
      <alignment horizontal="center" vertical="center" wrapText="1"/>
      <protection hidden="1"/>
    </xf>
    <xf numFmtId="1" fontId="3" fillId="6" borderId="9" xfId="0" applyNumberFormat="1" applyFont="1" applyFill="1" applyBorder="1" applyAlignment="1" applyProtection="1">
      <alignment horizontal="center" vertical="center"/>
      <protection locked="0" hidden="1"/>
    </xf>
    <xf numFmtId="1" fontId="3" fillId="6" borderId="9" xfId="0" applyNumberFormat="1" applyFont="1" applyFill="1" applyBorder="1" applyAlignment="1" applyProtection="1">
      <alignment horizontal="center" vertical="center" wrapText="1"/>
      <protection locked="0" hidden="1"/>
    </xf>
    <xf numFmtId="0" fontId="9" fillId="24" borderId="1" xfId="6" applyBorder="1" applyAlignment="1" applyProtection="1">
      <alignment horizontal="center" vertical="center" wrapText="1"/>
      <protection locked="0" hidden="1"/>
    </xf>
    <xf numFmtId="0" fontId="2" fillId="2" borderId="8" xfId="0"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protection hidden="1"/>
    </xf>
    <xf numFmtId="0" fontId="2" fillId="0" borderId="0" xfId="0" applyFont="1" applyAlignment="1" applyProtection="1">
      <alignment vertical="center" wrapText="1"/>
      <protection hidden="1"/>
    </xf>
    <xf numFmtId="0" fontId="2" fillId="2" borderId="0" xfId="0" applyFont="1" applyFill="1" applyBorder="1" applyAlignment="1" applyProtection="1">
      <alignment vertical="center" wrapText="1"/>
      <protection hidden="1"/>
    </xf>
    <xf numFmtId="0" fontId="1" fillId="2" borderId="0" xfId="0" applyFont="1" applyFill="1" applyBorder="1" applyAlignment="1" applyProtection="1">
      <alignment horizontal="center" vertical="center" wrapText="1"/>
      <protection hidden="1"/>
    </xf>
    <xf numFmtId="0" fontId="2" fillId="2" borderId="0" xfId="0" applyFont="1" applyFill="1" applyAlignment="1" applyProtection="1">
      <alignment vertical="center" wrapText="1"/>
      <protection hidden="1"/>
    </xf>
    <xf numFmtId="0" fontId="2" fillId="2" borderId="0" xfId="0" applyFont="1" applyFill="1" applyProtection="1">
      <protection hidden="1"/>
    </xf>
    <xf numFmtId="11" fontId="2" fillId="2" borderId="0" xfId="0" applyNumberFormat="1" applyFont="1" applyFill="1" applyBorder="1" applyAlignment="1" applyProtection="1">
      <alignment horizontal="center" vertical="center"/>
      <protection hidden="1"/>
    </xf>
    <xf numFmtId="0" fontId="7" fillId="21" borderId="7" xfId="0" applyFont="1" applyFill="1" applyBorder="1" applyAlignment="1" applyProtection="1">
      <alignment horizontal="center" vertical="center" wrapText="1"/>
      <protection hidden="1"/>
    </xf>
    <xf numFmtId="0" fontId="7" fillId="21" borderId="22" xfId="0" applyFont="1" applyFill="1" applyBorder="1" applyAlignment="1" applyProtection="1">
      <alignment horizontal="center" vertical="center" wrapText="1"/>
      <protection hidden="1"/>
    </xf>
    <xf numFmtId="0" fontId="7" fillId="21" borderId="20" xfId="0" applyFont="1" applyFill="1" applyBorder="1" applyAlignment="1" applyProtection="1">
      <alignment horizontal="center" vertical="center" wrapText="1"/>
      <protection hidden="1"/>
    </xf>
    <xf numFmtId="0" fontId="2" fillId="21" borderId="8" xfId="0" applyFont="1" applyFill="1" applyBorder="1" applyAlignment="1" applyProtection="1">
      <alignment horizontal="center" vertical="center"/>
      <protection hidden="1"/>
    </xf>
    <xf numFmtId="0" fontId="2" fillId="2" borderId="0" xfId="1" applyFont="1" applyFill="1" applyBorder="1" applyAlignment="1" applyProtection="1">
      <alignment horizontal="center" vertical="center"/>
      <protection hidden="1"/>
    </xf>
    <xf numFmtId="11" fontId="2" fillId="2" borderId="0" xfId="1" applyNumberFormat="1" applyFont="1" applyFill="1" applyBorder="1" applyAlignment="1" applyProtection="1">
      <alignment horizontal="center" vertical="center"/>
      <protection hidden="1"/>
    </xf>
    <xf numFmtId="1" fontId="20" fillId="15" borderId="19" xfId="0" applyNumberFormat="1" applyFont="1" applyFill="1" applyBorder="1" applyAlignment="1" applyProtection="1">
      <alignment horizontal="center" vertical="center" wrapText="1"/>
      <protection hidden="1"/>
    </xf>
    <xf numFmtId="0" fontId="2" fillId="19" borderId="7" xfId="0" applyFont="1" applyFill="1" applyBorder="1" applyAlignment="1" applyProtection="1">
      <alignment horizontal="center" vertical="center"/>
      <protection hidden="1"/>
    </xf>
    <xf numFmtId="2" fontId="20" fillId="19" borderId="22" xfId="0" applyNumberFormat="1" applyFont="1" applyFill="1" applyBorder="1" applyAlignment="1" applyProtection="1">
      <alignment horizontal="center" vertical="center" wrapText="1"/>
      <protection hidden="1"/>
    </xf>
    <xf numFmtId="1" fontId="20" fillId="15" borderId="22" xfId="0" applyNumberFormat="1" applyFont="1" applyFill="1" applyBorder="1" applyAlignment="1" applyProtection="1">
      <alignment horizontal="center" vertical="center" wrapText="1"/>
      <protection hidden="1"/>
    </xf>
    <xf numFmtId="167" fontId="20" fillId="19" borderId="20" xfId="0" applyNumberFormat="1" applyFont="1" applyFill="1" applyBorder="1" applyAlignment="1" applyProtection="1">
      <alignment horizontal="center" vertical="center" wrapText="1"/>
      <protection hidden="1"/>
    </xf>
    <xf numFmtId="1" fontId="2" fillId="19" borderId="8" xfId="0" applyNumberFormat="1" applyFont="1" applyFill="1" applyBorder="1" applyAlignment="1" applyProtection="1">
      <alignment horizontal="center" vertical="center"/>
      <protection hidden="1"/>
    </xf>
    <xf numFmtId="0" fontId="2" fillId="2" borderId="2" xfId="0" applyFont="1" applyFill="1" applyBorder="1" applyProtection="1">
      <protection hidden="1"/>
    </xf>
    <xf numFmtId="0" fontId="2" fillId="2" borderId="3" xfId="0" applyFont="1" applyFill="1" applyBorder="1" applyProtection="1">
      <protection hidden="1"/>
    </xf>
    <xf numFmtId="0" fontId="2" fillId="2" borderId="10" xfId="0" applyFont="1" applyFill="1" applyBorder="1" applyProtection="1">
      <protection hidden="1"/>
    </xf>
    <xf numFmtId="0" fontId="2" fillId="2" borderId="0" xfId="0" applyFont="1" applyFill="1" applyBorder="1" applyProtection="1">
      <protection hidden="1"/>
    </xf>
    <xf numFmtId="0" fontId="2" fillId="0" borderId="2" xfId="0" applyFont="1" applyBorder="1" applyAlignment="1" applyProtection="1">
      <alignment horizontal="center" vertical="center"/>
      <protection hidden="1"/>
    </xf>
    <xf numFmtId="0" fontId="2" fillId="0" borderId="71" xfId="0" applyFont="1" applyBorder="1" applyAlignment="1" applyProtection="1">
      <alignment horizontal="center" vertical="center"/>
      <protection hidden="1"/>
    </xf>
    <xf numFmtId="0" fontId="1" fillId="2" borderId="75" xfId="0" applyFont="1" applyFill="1" applyBorder="1" applyAlignment="1" applyProtection="1">
      <alignment horizontal="right"/>
      <protection hidden="1"/>
    </xf>
    <xf numFmtId="0" fontId="2" fillId="2" borderId="0" xfId="0" applyFont="1" applyFill="1" applyBorder="1" applyAlignment="1" applyProtection="1">
      <alignment horizontal="right" vertical="top"/>
      <protection hidden="1"/>
    </xf>
    <xf numFmtId="2" fontId="2" fillId="12" borderId="9" xfId="0" applyNumberFormat="1" applyFont="1" applyFill="1" applyBorder="1" applyAlignment="1" applyProtection="1">
      <alignment horizontal="center" vertical="center"/>
      <protection hidden="1"/>
    </xf>
    <xf numFmtId="2" fontId="2" fillId="5" borderId="34" xfId="0" applyNumberFormat="1" applyFont="1" applyFill="1" applyBorder="1" applyAlignment="1" applyProtection="1">
      <alignment horizontal="center" vertical="center"/>
      <protection hidden="1"/>
    </xf>
    <xf numFmtId="2" fontId="20" fillId="15" borderId="56" xfId="0" applyNumberFormat="1" applyFont="1" applyFill="1" applyBorder="1" applyAlignment="1" applyProtection="1">
      <alignment vertical="center" wrapText="1"/>
      <protection hidden="1"/>
    </xf>
    <xf numFmtId="2" fontId="20" fillId="15" borderId="57" xfId="0" applyNumberFormat="1" applyFont="1" applyFill="1" applyBorder="1" applyAlignment="1" applyProtection="1">
      <alignment vertical="center" wrapText="1"/>
      <protection hidden="1"/>
    </xf>
    <xf numFmtId="1" fontId="20" fillId="15" borderId="55" xfId="0" applyNumberFormat="1" applyFont="1" applyFill="1" applyBorder="1" applyAlignment="1" applyProtection="1">
      <alignment vertical="center" wrapText="1"/>
      <protection hidden="1"/>
    </xf>
    <xf numFmtId="1" fontId="20" fillId="15" borderId="61" xfId="0" applyNumberFormat="1" applyFont="1" applyFill="1" applyBorder="1" applyAlignment="1" applyProtection="1">
      <alignment vertical="center" wrapText="1"/>
      <protection hidden="1"/>
    </xf>
    <xf numFmtId="0" fontId="1" fillId="5" borderId="43" xfId="0" applyFont="1" applyFill="1" applyBorder="1" applyAlignment="1" applyProtection="1">
      <alignment horizontal="center" vertical="center"/>
      <protection hidden="1"/>
    </xf>
    <xf numFmtId="0" fontId="2" fillId="12" borderId="37" xfId="0" applyFont="1" applyFill="1" applyBorder="1" applyAlignment="1" applyProtection="1">
      <alignment horizontal="center" vertical="center"/>
      <protection hidden="1"/>
    </xf>
    <xf numFmtId="0" fontId="1" fillId="2" borderId="76" xfId="0" applyFont="1" applyFill="1" applyBorder="1" applyAlignment="1" applyProtection="1">
      <alignment horizontal="right"/>
      <protection hidden="1"/>
    </xf>
    <xf numFmtId="0" fontId="2" fillId="2" borderId="77" xfId="0" applyFont="1" applyFill="1" applyBorder="1" applyAlignment="1" applyProtection="1">
      <alignment horizontal="right" vertical="top"/>
      <protection hidden="1"/>
    </xf>
    <xf numFmtId="0" fontId="2" fillId="2" borderId="5" xfId="0" applyFont="1" applyFill="1" applyBorder="1" applyProtection="1">
      <protection hidden="1"/>
    </xf>
    <xf numFmtId="0" fontId="1" fillId="2" borderId="5" xfId="0" applyFont="1" applyFill="1" applyBorder="1" applyAlignment="1" applyProtection="1">
      <alignment horizontal="center"/>
      <protection hidden="1"/>
    </xf>
    <xf numFmtId="2" fontId="2" fillId="12" borderId="44" xfId="0" applyNumberFormat="1" applyFont="1" applyFill="1" applyBorder="1" applyAlignment="1" applyProtection="1">
      <alignment horizontal="center" vertical="center"/>
      <protection hidden="1"/>
    </xf>
    <xf numFmtId="2" fontId="2" fillId="5" borderId="37" xfId="0" applyNumberFormat="1" applyFont="1" applyFill="1" applyBorder="1" applyAlignment="1" applyProtection="1">
      <alignment horizontal="center" vertical="center"/>
      <protection hidden="1"/>
    </xf>
    <xf numFmtId="0" fontId="1" fillId="2" borderId="7" xfId="0" applyFont="1" applyFill="1" applyBorder="1" applyAlignment="1" applyProtection="1">
      <alignment horizontal="right"/>
      <protection hidden="1"/>
    </xf>
    <xf numFmtId="0" fontId="53" fillId="4" borderId="30" xfId="0" applyFont="1" applyFill="1" applyBorder="1" applyAlignment="1" applyProtection="1">
      <alignment horizontal="center" vertical="center" wrapText="1"/>
      <protection hidden="1"/>
    </xf>
    <xf numFmtId="2" fontId="2" fillId="12" borderId="53" xfId="0" applyNumberFormat="1" applyFont="1" applyFill="1" applyBorder="1" applyAlignment="1" applyProtection="1">
      <alignment horizontal="center" vertical="center"/>
      <protection hidden="1"/>
    </xf>
    <xf numFmtId="2" fontId="2" fillId="13" borderId="36" xfId="0" applyNumberFormat="1" applyFont="1" applyFill="1" applyBorder="1" applyAlignment="1" applyProtection="1">
      <alignment horizontal="center" vertical="center"/>
      <protection hidden="1"/>
    </xf>
    <xf numFmtId="0" fontId="4" fillId="4" borderId="32" xfId="0" applyFont="1" applyFill="1" applyBorder="1" applyAlignment="1" applyProtection="1">
      <alignment vertical="top" wrapText="1"/>
      <protection hidden="1"/>
    </xf>
    <xf numFmtId="165" fontId="2" fillId="12" borderId="34" xfId="0" applyNumberFormat="1" applyFont="1" applyFill="1" applyBorder="1" applyAlignment="1" applyProtection="1">
      <alignment horizontal="center" vertical="center"/>
      <protection hidden="1"/>
    </xf>
    <xf numFmtId="0" fontId="2" fillId="2" borderId="0" xfId="1" applyFont="1" applyFill="1" applyBorder="1" applyAlignment="1" applyProtection="1">
      <protection hidden="1"/>
    </xf>
    <xf numFmtId="0" fontId="4" fillId="4" borderId="43" xfId="0" applyFont="1" applyFill="1" applyBorder="1" applyAlignment="1" applyProtection="1">
      <alignment vertical="center" wrapText="1"/>
      <protection hidden="1"/>
    </xf>
    <xf numFmtId="2" fontId="2" fillId="13" borderId="37" xfId="0" applyNumberFormat="1" applyFont="1" applyFill="1" applyBorder="1" applyAlignment="1" applyProtection="1">
      <alignment horizontal="center" vertical="center"/>
      <protection hidden="1"/>
    </xf>
    <xf numFmtId="167" fontId="2" fillId="2" borderId="0" xfId="1" applyNumberFormat="1" applyFont="1" applyFill="1" applyBorder="1" applyProtection="1">
      <protection hidden="1"/>
    </xf>
    <xf numFmtId="9" fontId="2" fillId="2" borderId="0" xfId="0" applyNumberFormat="1" applyFont="1" applyFill="1" applyBorder="1" applyAlignment="1" applyProtection="1">
      <alignment horizontal="center" vertical="center"/>
      <protection hidden="1"/>
    </xf>
    <xf numFmtId="0" fontId="2" fillId="5" borderId="30" xfId="1" applyFont="1" applyFill="1" applyBorder="1" applyAlignment="1" applyProtection="1">
      <alignment horizontal="center" vertical="center"/>
      <protection hidden="1"/>
    </xf>
    <xf numFmtId="0" fontId="2" fillId="5" borderId="18" xfId="1" applyFont="1" applyFill="1" applyBorder="1" applyAlignment="1" applyProtection="1">
      <alignment horizontal="center" vertical="center"/>
      <protection hidden="1"/>
    </xf>
    <xf numFmtId="0" fontId="1" fillId="3" borderId="20" xfId="0" applyFont="1" applyFill="1" applyBorder="1" applyAlignment="1" applyProtection="1">
      <alignment horizontal="center" vertical="center"/>
      <protection hidden="1"/>
    </xf>
    <xf numFmtId="166" fontId="2" fillId="2" borderId="5" xfId="0" applyNumberFormat="1" applyFont="1" applyFill="1" applyBorder="1" applyProtection="1">
      <protection hidden="1"/>
    </xf>
    <xf numFmtId="0" fontId="1" fillId="5" borderId="30" xfId="0" applyFont="1" applyFill="1" applyBorder="1" applyAlignment="1" applyProtection="1">
      <alignment horizontal="center" vertical="center"/>
      <protection hidden="1"/>
    </xf>
    <xf numFmtId="0" fontId="1" fillId="5" borderId="32" xfId="0" applyFont="1" applyFill="1" applyBorder="1" applyAlignment="1" applyProtection="1">
      <alignment horizontal="center" vertical="center" wrapText="1"/>
      <protection hidden="1"/>
    </xf>
    <xf numFmtId="0" fontId="1" fillId="5" borderId="43" xfId="0" applyFont="1" applyFill="1" applyBorder="1" applyAlignment="1" applyProtection="1">
      <alignment horizontal="center" vertical="center" wrapText="1"/>
      <protection hidden="1"/>
    </xf>
    <xf numFmtId="0" fontId="1" fillId="5" borderId="68" xfId="0" applyFont="1" applyFill="1" applyBorder="1" applyAlignment="1" applyProtection="1">
      <alignment horizontal="center" vertical="center" wrapText="1"/>
      <protection hidden="1"/>
    </xf>
    <xf numFmtId="166" fontId="2" fillId="12" borderId="4" xfId="0" applyNumberFormat="1" applyFont="1" applyFill="1" applyBorder="1" applyAlignment="1" applyProtection="1">
      <alignment horizontal="center" vertical="center"/>
      <protection hidden="1"/>
    </xf>
    <xf numFmtId="0" fontId="2" fillId="2" borderId="2" xfId="0" applyFont="1" applyFill="1" applyBorder="1" applyAlignment="1" applyProtection="1">
      <protection hidden="1"/>
    </xf>
    <xf numFmtId="0" fontId="2" fillId="2" borderId="3" xfId="0" applyFont="1" applyFill="1" applyBorder="1" applyAlignment="1" applyProtection="1">
      <protection hidden="1"/>
    </xf>
    <xf numFmtId="0" fontId="1" fillId="5" borderId="69" xfId="0" applyFont="1" applyFill="1" applyBorder="1" applyAlignment="1" applyProtection="1">
      <alignment horizontal="center" vertical="center"/>
      <protection hidden="1"/>
    </xf>
    <xf numFmtId="2" fontId="2" fillId="13" borderId="8" xfId="0" applyNumberFormat="1" applyFont="1" applyFill="1" applyBorder="1" applyAlignment="1" applyProtection="1">
      <alignment horizontal="center" vertical="center"/>
      <protection hidden="1"/>
    </xf>
    <xf numFmtId="0" fontId="2" fillId="2" borderId="47" xfId="0" applyFont="1" applyFill="1" applyBorder="1" applyAlignment="1" applyProtection="1">
      <protection hidden="1"/>
    </xf>
    <xf numFmtId="0" fontId="2" fillId="2" borderId="5" xfId="0" applyFont="1" applyFill="1" applyBorder="1" applyAlignment="1" applyProtection="1">
      <protection hidden="1"/>
    </xf>
    <xf numFmtId="0" fontId="1" fillId="2" borderId="0" xfId="0" applyFont="1" applyFill="1" applyBorder="1" applyAlignment="1" applyProtection="1">
      <alignment horizontal="center" vertical="center"/>
      <protection hidden="1"/>
    </xf>
    <xf numFmtId="166" fontId="2" fillId="2" borderId="0" xfId="0" applyNumberFormat="1" applyFont="1" applyFill="1" applyBorder="1" applyAlignment="1" applyProtection="1">
      <alignment horizontal="center" vertical="center"/>
      <protection hidden="1"/>
    </xf>
    <xf numFmtId="0" fontId="2" fillId="2" borderId="10" xfId="0" applyFont="1" applyFill="1" applyBorder="1" applyAlignment="1" applyProtection="1">
      <alignment vertical="center" wrapText="1"/>
      <protection hidden="1"/>
    </xf>
    <xf numFmtId="0" fontId="1" fillId="2" borderId="0" xfId="0" applyFont="1" applyFill="1" applyBorder="1" applyAlignment="1" applyProtection="1">
      <alignment vertical="center" wrapText="1"/>
      <protection hidden="1"/>
    </xf>
    <xf numFmtId="0" fontId="1" fillId="2" borderId="49" xfId="0" applyFont="1" applyFill="1" applyBorder="1" applyAlignment="1" applyProtection="1">
      <alignment horizontal="center" vertical="center" wrapText="1"/>
      <protection hidden="1"/>
    </xf>
    <xf numFmtId="0" fontId="2" fillId="2" borderId="10" xfId="0" applyFont="1" applyFill="1" applyBorder="1" applyAlignment="1" applyProtection="1">
      <alignment horizontal="left" vertical="center" wrapText="1"/>
      <protection hidden="1"/>
    </xf>
    <xf numFmtId="0" fontId="2" fillId="2" borderId="0" xfId="0" applyFont="1" applyFill="1" applyBorder="1" applyAlignment="1" applyProtection="1">
      <alignment horizontal="left" vertical="center" wrapText="1"/>
      <protection hidden="1"/>
    </xf>
    <xf numFmtId="0" fontId="2" fillId="0" borderId="10" xfId="0" applyFont="1" applyBorder="1" applyAlignment="1" applyProtection="1">
      <alignment vertical="center" wrapText="1"/>
      <protection hidden="1"/>
    </xf>
    <xf numFmtId="0" fontId="1" fillId="5" borderId="22" xfId="0" applyFont="1" applyFill="1" applyBorder="1" applyAlignment="1" applyProtection="1">
      <alignment horizontal="center" vertical="center" wrapText="1"/>
      <protection hidden="1"/>
    </xf>
    <xf numFmtId="0" fontId="1" fillId="5" borderId="20" xfId="0"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center" wrapText="1"/>
      <protection hidden="1"/>
    </xf>
    <xf numFmtId="0" fontId="2" fillId="0" borderId="40" xfId="0" applyFont="1" applyBorder="1" applyAlignment="1" applyProtection="1">
      <alignment vertical="center" wrapText="1"/>
      <protection hidden="1"/>
    </xf>
    <xf numFmtId="14" fontId="2" fillId="5" borderId="9" xfId="0" applyNumberFormat="1"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167" fontId="2" fillId="5" borderId="9" xfId="0" applyNumberFormat="1" applyFont="1" applyFill="1" applyBorder="1" applyAlignment="1" applyProtection="1">
      <alignment horizontal="center" vertical="center" wrapText="1"/>
      <protection hidden="1"/>
    </xf>
    <xf numFmtId="166" fontId="2" fillId="5" borderId="9" xfId="0" applyNumberFormat="1" applyFont="1" applyFill="1" applyBorder="1" applyAlignment="1" applyProtection="1">
      <alignment horizontal="center" vertical="center" wrapText="1"/>
      <protection hidden="1"/>
    </xf>
    <xf numFmtId="165" fontId="2" fillId="5" borderId="9" xfId="0" applyNumberFormat="1" applyFont="1" applyFill="1" applyBorder="1" applyAlignment="1" applyProtection="1">
      <alignment horizontal="center" vertical="center" wrapText="1"/>
      <protection hidden="1"/>
    </xf>
    <xf numFmtId="0" fontId="2" fillId="5" borderId="34" xfId="0" applyFont="1" applyFill="1" applyBorder="1" applyAlignment="1" applyProtection="1">
      <alignment horizontal="center" vertical="center" wrapText="1"/>
      <protection hidden="1"/>
    </xf>
    <xf numFmtId="2" fontId="2" fillId="5" borderId="9" xfId="0" applyNumberFormat="1" applyFont="1" applyFill="1" applyBorder="1" applyAlignment="1" applyProtection="1">
      <alignment horizontal="center" vertical="center" wrapText="1"/>
      <protection hidden="1"/>
    </xf>
    <xf numFmtId="169" fontId="2" fillId="5" borderId="9" xfId="0" applyNumberFormat="1" applyFont="1" applyFill="1" applyBorder="1" applyAlignment="1" applyProtection="1">
      <alignment horizontal="center" vertical="center" wrapText="1"/>
      <protection hidden="1"/>
    </xf>
    <xf numFmtId="0" fontId="1" fillId="2" borderId="10" xfId="0" applyFont="1" applyFill="1" applyBorder="1" applyAlignment="1" applyProtection="1">
      <alignment horizontal="left" vertical="top" wrapText="1"/>
      <protection hidden="1"/>
    </xf>
    <xf numFmtId="0" fontId="1" fillId="2" borderId="0" xfId="0" applyFont="1" applyFill="1" applyBorder="1" applyAlignment="1" applyProtection="1">
      <alignment horizontal="left" vertical="top" wrapText="1"/>
      <protection hidden="1"/>
    </xf>
    <xf numFmtId="14" fontId="2" fillId="2" borderId="0" xfId="0" applyNumberFormat="1" applyFont="1" applyFill="1" applyBorder="1" applyAlignment="1" applyProtection="1">
      <alignment horizontal="center" vertical="center" wrapText="1"/>
      <protection hidden="1"/>
    </xf>
    <xf numFmtId="171" fontId="2" fillId="2" borderId="0" xfId="0" applyNumberFormat="1" applyFont="1" applyFill="1" applyBorder="1" applyAlignment="1" applyProtection="1">
      <alignment horizontal="center" vertical="center" wrapText="1"/>
      <protection hidden="1"/>
    </xf>
    <xf numFmtId="0" fontId="2" fillId="2" borderId="49" xfId="0" applyFont="1" applyFill="1" applyBorder="1" applyAlignment="1" applyProtection="1">
      <alignment horizontal="center" vertical="center" wrapText="1"/>
      <protection hidden="1"/>
    </xf>
    <xf numFmtId="0" fontId="1" fillId="5" borderId="57" xfId="0" applyFont="1" applyFill="1" applyBorder="1" applyAlignment="1" applyProtection="1">
      <alignment vertical="top" wrapText="1"/>
      <protection hidden="1"/>
    </xf>
    <xf numFmtId="0" fontId="2" fillId="5" borderId="44" xfId="0" applyFont="1" applyFill="1" applyBorder="1" applyAlignment="1" applyProtection="1">
      <alignment horizontal="center" vertical="center" wrapText="1"/>
      <protection hidden="1"/>
    </xf>
    <xf numFmtId="14" fontId="2" fillId="5" borderId="44" xfId="0" applyNumberFormat="1" applyFont="1" applyFill="1" applyBorder="1" applyAlignment="1" applyProtection="1">
      <alignment horizontal="center" vertical="center" wrapText="1"/>
      <protection hidden="1"/>
    </xf>
    <xf numFmtId="165" fontId="2" fillId="5" borderId="44" xfId="0" applyNumberFormat="1" applyFont="1" applyFill="1" applyBorder="1" applyAlignment="1" applyProtection="1">
      <alignment horizontal="center" vertical="center" wrapText="1"/>
      <protection hidden="1"/>
    </xf>
    <xf numFmtId="1" fontId="2" fillId="5" borderId="44" xfId="0" applyNumberFormat="1" applyFont="1" applyFill="1" applyBorder="1" applyAlignment="1" applyProtection="1">
      <alignment horizontal="center" vertical="center" wrapText="1"/>
      <protection hidden="1"/>
    </xf>
    <xf numFmtId="169" fontId="2" fillId="5" borderId="44" xfId="0" applyNumberFormat="1" applyFont="1" applyFill="1" applyBorder="1" applyAlignment="1" applyProtection="1">
      <alignment horizontal="center" vertical="center" wrapText="1"/>
      <protection hidden="1"/>
    </xf>
    <xf numFmtId="0" fontId="2" fillId="5" borderId="37" xfId="0" applyFont="1" applyFill="1" applyBorder="1" applyAlignment="1" applyProtection="1">
      <alignment horizontal="center" vertical="center" wrapText="1"/>
      <protection hidden="1"/>
    </xf>
    <xf numFmtId="166" fontId="2" fillId="2" borderId="0" xfId="1" applyNumberFormat="1" applyFont="1" applyFill="1" applyBorder="1" applyAlignment="1" applyProtection="1">
      <alignment horizontal="center" vertical="center"/>
      <protection hidden="1"/>
    </xf>
    <xf numFmtId="14" fontId="2" fillId="5" borderId="18" xfId="0" applyNumberFormat="1" applyFont="1" applyFill="1" applyBorder="1" applyAlignment="1" applyProtection="1">
      <alignment horizontal="center" vertical="center" wrapText="1"/>
      <protection hidden="1"/>
    </xf>
    <xf numFmtId="165" fontId="2" fillId="2" borderId="0" xfId="1" applyNumberFormat="1" applyFont="1" applyFill="1" applyBorder="1" applyAlignment="1" applyProtection="1">
      <alignment horizontal="center" vertical="center"/>
      <protection hidden="1"/>
    </xf>
    <xf numFmtId="0" fontId="1" fillId="2" borderId="1" xfId="0" applyFont="1" applyFill="1" applyBorder="1" applyAlignment="1" applyProtection="1">
      <alignment vertical="center" wrapText="1"/>
      <protection hidden="1"/>
    </xf>
    <xf numFmtId="166" fontId="2" fillId="2" borderId="4" xfId="0" applyNumberFormat="1" applyFont="1" applyFill="1" applyBorder="1" applyAlignment="1" applyProtection="1">
      <alignment horizontal="center" vertical="center"/>
      <protection hidden="1"/>
    </xf>
    <xf numFmtId="2" fontId="2" fillId="2" borderId="0" xfId="0" applyNumberFormat="1" applyFont="1" applyFill="1" applyBorder="1" applyProtection="1">
      <protection hidden="1"/>
    </xf>
    <xf numFmtId="0" fontId="2" fillId="11" borderId="14" xfId="0" applyFont="1" applyFill="1" applyBorder="1" applyAlignment="1" applyProtection="1">
      <alignment horizontal="center" vertical="center"/>
      <protection locked="0" hidden="1"/>
    </xf>
    <xf numFmtId="0" fontId="2" fillId="11" borderId="57" xfId="0" applyFont="1" applyFill="1" applyBorder="1" applyAlignment="1" applyProtection="1">
      <alignment horizontal="center" vertical="center"/>
      <protection locked="0" hidden="1"/>
    </xf>
    <xf numFmtId="0" fontId="2" fillId="11" borderId="9" xfId="1" applyFont="1" applyFill="1" applyBorder="1" applyAlignment="1" applyProtection="1">
      <alignment horizontal="center" vertical="center"/>
      <protection locked="0" hidden="1"/>
    </xf>
    <xf numFmtId="0" fontId="2" fillId="11" borderId="44" xfId="1" applyFont="1" applyFill="1" applyBorder="1" applyAlignment="1" applyProtection="1">
      <alignment horizontal="center" vertical="center"/>
      <protection locked="0" hidden="1"/>
    </xf>
    <xf numFmtId="2" fontId="9" fillId="24" borderId="1" xfId="6" applyNumberFormat="1" applyBorder="1" applyAlignment="1" applyProtection="1">
      <alignment horizontal="center" vertical="center"/>
      <protection locked="0" hidden="1"/>
    </xf>
    <xf numFmtId="0" fontId="57" fillId="25" borderId="1" xfId="0" applyFont="1" applyFill="1" applyBorder="1" applyAlignment="1" applyProtection="1">
      <alignment horizontal="center" vertical="center"/>
      <protection hidden="1"/>
    </xf>
    <xf numFmtId="0" fontId="9" fillId="24" borderId="70" xfId="6" applyBorder="1" applyAlignment="1" applyProtection="1">
      <alignment horizontal="center" vertical="center" wrapText="1"/>
      <protection locked="0" hidden="1"/>
    </xf>
    <xf numFmtId="0" fontId="2" fillId="5" borderId="39" xfId="0" applyFont="1" applyFill="1" applyBorder="1" applyAlignment="1" applyProtection="1">
      <alignment horizontal="center" vertical="center" wrapText="1"/>
      <protection hidden="1"/>
    </xf>
    <xf numFmtId="0" fontId="2" fillId="5" borderId="40" xfId="0" applyFont="1" applyFill="1" applyBorder="1" applyAlignment="1" applyProtection="1">
      <alignment horizontal="center" vertical="center" wrapText="1"/>
      <protection hidden="1"/>
    </xf>
    <xf numFmtId="0" fontId="2" fillId="5" borderId="32" xfId="0" applyFont="1" applyFill="1" applyBorder="1" applyAlignment="1" applyProtection="1">
      <alignment horizontal="center" vertical="center" wrapText="1"/>
      <protection hidden="1"/>
    </xf>
    <xf numFmtId="0" fontId="2" fillId="5" borderId="43" xfId="0" applyFont="1" applyFill="1" applyBorder="1" applyAlignment="1" applyProtection="1">
      <alignment horizontal="center" vertical="center"/>
      <protection hidden="1"/>
    </xf>
    <xf numFmtId="0" fontId="46" fillId="5" borderId="22" xfId="0" applyFont="1" applyFill="1" applyBorder="1" applyAlignment="1" applyProtection="1">
      <alignment horizontal="center" vertical="center" wrapText="1"/>
      <protection hidden="1"/>
    </xf>
    <xf numFmtId="0" fontId="10" fillId="5" borderId="20" xfId="0" applyFont="1" applyFill="1" applyBorder="1" applyAlignment="1" applyProtection="1">
      <alignment horizontal="center" vertical="center" wrapText="1"/>
      <protection hidden="1"/>
    </xf>
    <xf numFmtId="2" fontId="5" fillId="7" borderId="14" xfId="0" applyNumberFormat="1" applyFont="1" applyFill="1" applyBorder="1" applyAlignment="1" applyProtection="1">
      <alignment horizontal="center" vertical="center" wrapText="1"/>
      <protection hidden="1"/>
    </xf>
    <xf numFmtId="166" fontId="2" fillId="7" borderId="44" xfId="0" applyNumberFormat="1" applyFont="1" applyFill="1" applyBorder="1" applyAlignment="1" applyProtection="1">
      <alignment horizontal="center" vertical="center"/>
      <protection hidden="1"/>
    </xf>
    <xf numFmtId="166" fontId="2" fillId="7" borderId="9" xfId="0" applyNumberFormat="1" applyFont="1" applyFill="1" applyBorder="1" applyAlignment="1" applyProtection="1">
      <alignment horizontal="center" vertical="center" wrapText="1"/>
      <protection hidden="1"/>
    </xf>
    <xf numFmtId="0" fontId="2" fillId="5" borderId="27" xfId="1" applyFont="1" applyFill="1" applyBorder="1" applyAlignment="1" applyProtection="1">
      <alignment horizontal="center" wrapText="1"/>
      <protection hidden="1"/>
    </xf>
    <xf numFmtId="166" fontId="2" fillId="12" borderId="11" xfId="0" applyNumberFormat="1" applyFont="1" applyFill="1" applyBorder="1" applyAlignment="1" applyProtection="1">
      <alignment horizontal="center" vertical="center"/>
      <protection hidden="1"/>
    </xf>
    <xf numFmtId="166" fontId="2" fillId="12" borderId="55" xfId="0" applyNumberFormat="1" applyFont="1" applyFill="1" applyBorder="1" applyAlignment="1" applyProtection="1">
      <alignment horizontal="center" vertical="center"/>
      <protection hidden="1"/>
    </xf>
    <xf numFmtId="0" fontId="16" fillId="0" borderId="40" xfId="0" applyFont="1" applyBorder="1" applyProtection="1">
      <protection hidden="1"/>
    </xf>
    <xf numFmtId="0" fontId="18" fillId="0" borderId="40" xfId="0" applyFont="1" applyBorder="1" applyAlignment="1" applyProtection="1">
      <alignment horizontal="center" vertical="center"/>
      <protection hidden="1"/>
    </xf>
    <xf numFmtId="170" fontId="18" fillId="0" borderId="40" xfId="0" applyNumberFormat="1" applyFont="1" applyBorder="1" applyAlignment="1" applyProtection="1">
      <alignment horizontal="center" vertical="center"/>
      <protection hidden="1"/>
    </xf>
    <xf numFmtId="0" fontId="18" fillId="0" borderId="41" xfId="0" applyFont="1" applyBorder="1" applyProtection="1">
      <protection hidden="1"/>
    </xf>
    <xf numFmtId="167" fontId="1" fillId="7" borderId="69" xfId="0" applyNumberFormat="1" applyFont="1" applyFill="1" applyBorder="1" applyAlignment="1" applyProtection="1">
      <alignment horizontal="center" vertical="center" wrapText="1"/>
      <protection hidden="1"/>
    </xf>
    <xf numFmtId="167" fontId="1" fillId="7" borderId="74" xfId="0" applyNumberFormat="1" applyFont="1" applyFill="1" applyBorder="1" applyAlignment="1" applyProtection="1">
      <alignment horizontal="center" vertical="center" wrapText="1"/>
      <protection hidden="1"/>
    </xf>
    <xf numFmtId="167" fontId="1" fillId="7" borderId="66" xfId="0" applyNumberFormat="1" applyFont="1" applyFill="1" applyBorder="1" applyAlignment="1" applyProtection="1">
      <alignment horizontal="center" vertical="center" wrapText="1"/>
      <protection hidden="1"/>
    </xf>
    <xf numFmtId="165" fontId="20" fillId="0" borderId="0" xfId="0" applyNumberFormat="1" applyFont="1" applyAlignment="1" applyProtection="1">
      <alignment vertical="center" wrapText="1"/>
      <protection hidden="1"/>
    </xf>
    <xf numFmtId="165" fontId="20" fillId="0" borderId="0" xfId="0" applyNumberFormat="1" applyFont="1" applyAlignment="1" applyProtection="1">
      <alignment horizontal="center" vertical="center" wrapText="1"/>
      <protection hidden="1"/>
    </xf>
    <xf numFmtId="166" fontId="20" fillId="0" borderId="0" xfId="0" applyNumberFormat="1" applyFont="1" applyAlignment="1" applyProtection="1">
      <alignment horizontal="center" vertical="center" wrapText="1"/>
      <protection hidden="1"/>
    </xf>
    <xf numFmtId="2" fontId="5" fillId="7" borderId="9" xfId="0" applyNumberFormat="1" applyFont="1" applyFill="1" applyBorder="1" applyAlignment="1" applyProtection="1">
      <alignment horizontal="center" vertical="center" wrapText="1"/>
      <protection hidden="1"/>
    </xf>
    <xf numFmtId="166" fontId="5" fillId="7" borderId="34" xfId="0" applyNumberFormat="1" applyFont="1" applyFill="1" applyBorder="1" applyAlignment="1" applyProtection="1">
      <alignment horizontal="center" vertical="center" wrapText="1"/>
      <protection hidden="1"/>
    </xf>
    <xf numFmtId="0" fontId="61" fillId="0" borderId="0" xfId="0" applyFont="1" applyBorder="1" applyProtection="1">
      <protection hidden="1"/>
    </xf>
    <xf numFmtId="0" fontId="61" fillId="0" borderId="6" xfId="0" applyFont="1" applyBorder="1" applyProtection="1">
      <protection hidden="1"/>
    </xf>
    <xf numFmtId="0" fontId="61" fillId="0" borderId="8" xfId="0" applyFont="1" applyBorder="1" applyProtection="1">
      <protection hidden="1"/>
    </xf>
    <xf numFmtId="0" fontId="61" fillId="0" borderId="0" xfId="0" applyFont="1" applyProtection="1">
      <protection hidden="1"/>
    </xf>
    <xf numFmtId="0" fontId="14" fillId="0" borderId="0" xfId="0" applyFont="1" applyBorder="1" applyAlignment="1" applyProtection="1">
      <alignment vertical="center"/>
      <protection hidden="1"/>
    </xf>
    <xf numFmtId="170" fontId="14" fillId="0" borderId="0" xfId="0" applyNumberFormat="1" applyFont="1" applyBorder="1" applyAlignment="1" applyProtection="1">
      <alignment vertical="center"/>
      <protection hidden="1"/>
    </xf>
    <xf numFmtId="170" fontId="61" fillId="0" borderId="0" xfId="0" applyNumberFormat="1" applyFont="1" applyProtection="1">
      <protection hidden="1"/>
    </xf>
    <xf numFmtId="0" fontId="61" fillId="0" borderId="0" xfId="0" applyFont="1" applyAlignment="1" applyProtection="1">
      <alignment horizontal="center" vertical="center"/>
      <protection hidden="1"/>
    </xf>
    <xf numFmtId="0" fontId="39" fillId="0" borderId="0" xfId="0" applyFont="1" applyFill="1" applyBorder="1" applyAlignment="1" applyProtection="1">
      <alignment vertical="center"/>
      <protection hidden="1"/>
    </xf>
    <xf numFmtId="0" fontId="61" fillId="0" borderId="0" xfId="0" applyFont="1" applyFill="1" applyBorder="1" applyAlignment="1" applyProtection="1">
      <protection hidden="1"/>
    </xf>
    <xf numFmtId="0" fontId="58" fillId="0" borderId="0" xfId="0" applyFont="1" applyProtection="1">
      <protection hidden="1"/>
    </xf>
    <xf numFmtId="0" fontId="39" fillId="2" borderId="39" xfId="0" applyFont="1" applyFill="1" applyBorder="1" applyAlignment="1" applyProtection="1">
      <alignment horizontal="center"/>
      <protection hidden="1"/>
    </xf>
    <xf numFmtId="0" fontId="39" fillId="2" borderId="40" xfId="0" applyFont="1" applyFill="1" applyBorder="1" applyAlignment="1" applyProtection="1">
      <alignment horizontal="center"/>
      <protection hidden="1"/>
    </xf>
    <xf numFmtId="0" fontId="39" fillId="18" borderId="1" xfId="0" applyFont="1" applyFill="1" applyBorder="1" applyAlignment="1" applyProtection="1">
      <alignment horizontal="center" vertical="center"/>
      <protection hidden="1"/>
    </xf>
    <xf numFmtId="0" fontId="39" fillId="0" borderId="0" xfId="0" applyFont="1" applyBorder="1" applyProtection="1">
      <protection hidden="1"/>
    </xf>
    <xf numFmtId="0" fontId="61" fillId="0" borderId="0" xfId="0" applyFont="1" applyFill="1" applyBorder="1" applyProtection="1">
      <protection hidden="1"/>
    </xf>
    <xf numFmtId="0" fontId="61" fillId="0" borderId="0" xfId="0" applyFont="1" applyFill="1" applyProtection="1">
      <protection hidden="1"/>
    </xf>
    <xf numFmtId="0" fontId="39" fillId="0" borderId="39" xfId="0" applyFont="1" applyFill="1" applyBorder="1" applyAlignment="1" applyProtection="1">
      <alignment horizontal="center" vertical="center"/>
      <protection hidden="1"/>
    </xf>
    <xf numFmtId="0" fontId="39" fillId="2" borderId="43" xfId="0" applyFont="1" applyFill="1" applyBorder="1" applyAlignment="1" applyProtection="1">
      <alignment horizontal="center"/>
      <protection hidden="1"/>
    </xf>
    <xf numFmtId="0" fontId="39" fillId="2" borderId="44" xfId="0" applyFont="1" applyFill="1" applyBorder="1" applyAlignment="1" applyProtection="1">
      <alignment horizontal="center"/>
      <protection hidden="1"/>
    </xf>
    <xf numFmtId="170" fontId="39" fillId="2" borderId="44" xfId="0" applyNumberFormat="1" applyFont="1" applyFill="1" applyBorder="1" applyAlignment="1" applyProtection="1">
      <alignment horizontal="center"/>
      <protection hidden="1"/>
    </xf>
    <xf numFmtId="0" fontId="39" fillId="2" borderId="37" xfId="0" applyFont="1" applyFill="1" applyBorder="1" applyAlignment="1" applyProtection="1">
      <alignment horizontal="center"/>
      <protection hidden="1"/>
    </xf>
    <xf numFmtId="0" fontId="39" fillId="0" borderId="32"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protection hidden="1"/>
    </xf>
    <xf numFmtId="0" fontId="39" fillId="0" borderId="0" xfId="0" applyFont="1" applyBorder="1" applyAlignment="1" applyProtection="1">
      <alignment horizontal="center"/>
      <protection hidden="1"/>
    </xf>
    <xf numFmtId="170" fontId="39" fillId="0" borderId="0" xfId="0" applyNumberFormat="1" applyFont="1" applyFill="1" applyBorder="1" applyAlignment="1" applyProtection="1">
      <alignment horizontal="center"/>
      <protection hidden="1"/>
    </xf>
    <xf numFmtId="0" fontId="39" fillId="2" borderId="40" xfId="0" applyFont="1" applyFill="1" applyBorder="1" applyAlignment="1" applyProtection="1">
      <alignment horizontal="center" vertical="center" wrapText="1"/>
      <protection hidden="1"/>
    </xf>
    <xf numFmtId="0" fontId="39" fillId="2" borderId="41" xfId="0" applyFont="1" applyFill="1" applyBorder="1" applyAlignment="1" applyProtection="1">
      <alignment horizontal="center" vertical="center" wrapText="1"/>
      <protection hidden="1"/>
    </xf>
    <xf numFmtId="170" fontId="39" fillId="0" borderId="0" xfId="0" applyNumberFormat="1" applyFont="1" applyBorder="1" applyAlignment="1" applyProtection="1">
      <alignment horizontal="center"/>
      <protection hidden="1"/>
    </xf>
    <xf numFmtId="0" fontId="61" fillId="0" borderId="2" xfId="0" applyFont="1" applyBorder="1" applyProtection="1">
      <protection hidden="1"/>
    </xf>
    <xf numFmtId="0" fontId="61" fillId="0" borderId="3" xfId="0" applyFont="1" applyBorder="1" applyProtection="1">
      <protection hidden="1"/>
    </xf>
    <xf numFmtId="0" fontId="61" fillId="0" borderId="3" xfId="0" applyFont="1" applyFill="1" applyBorder="1" applyAlignment="1" applyProtection="1">
      <alignment horizontal="center" vertical="center"/>
      <protection hidden="1"/>
    </xf>
    <xf numFmtId="2" fontId="61" fillId="0" borderId="3" xfId="0" applyNumberFormat="1" applyFont="1" applyFill="1" applyBorder="1" applyAlignment="1" applyProtection="1">
      <alignment horizontal="left" vertical="center"/>
      <protection hidden="1"/>
    </xf>
    <xf numFmtId="0" fontId="61" fillId="0" borderId="3" xfId="0" applyFont="1" applyFill="1" applyBorder="1" applyProtection="1">
      <protection hidden="1"/>
    </xf>
    <xf numFmtId="0" fontId="61" fillId="0" borderId="10" xfId="0" applyFont="1" applyBorder="1" applyProtection="1">
      <protection hidden="1"/>
    </xf>
    <xf numFmtId="170" fontId="61" fillId="0" borderId="0" xfId="0" applyNumberFormat="1" applyFont="1" applyBorder="1" applyProtection="1">
      <protection hidden="1"/>
    </xf>
    <xf numFmtId="0" fontId="18" fillId="18" borderId="19" xfId="0" applyFont="1" applyFill="1" applyBorder="1" applyAlignment="1" applyProtection="1">
      <alignment horizontal="center" vertical="center" wrapText="1"/>
      <protection hidden="1"/>
    </xf>
    <xf numFmtId="0" fontId="18" fillId="18" borderId="22" xfId="0" applyFont="1" applyFill="1" applyBorder="1" applyAlignment="1" applyProtection="1">
      <alignment horizontal="center" vertical="center" wrapText="1"/>
      <protection hidden="1"/>
    </xf>
    <xf numFmtId="170" fontId="18" fillId="18" borderId="22" xfId="0" applyNumberFormat="1" applyFont="1" applyFill="1" applyBorder="1" applyAlignment="1" applyProtection="1">
      <alignment horizontal="center" vertical="center" wrapText="1"/>
      <protection hidden="1"/>
    </xf>
    <xf numFmtId="0" fontId="18" fillId="18" borderId="20" xfId="0" applyFont="1" applyFill="1" applyBorder="1" applyAlignment="1" applyProtection="1">
      <alignment horizontal="center" vertical="center" wrapText="1"/>
      <protection hidden="1"/>
    </xf>
    <xf numFmtId="0" fontId="39" fillId="0" borderId="3" xfId="0" applyFont="1" applyBorder="1" applyProtection="1">
      <protection hidden="1"/>
    </xf>
    <xf numFmtId="170" fontId="39" fillId="0" borderId="3" xfId="0" applyNumberFormat="1" applyFont="1" applyBorder="1" applyProtection="1">
      <protection hidden="1"/>
    </xf>
    <xf numFmtId="0" fontId="39" fillId="0" borderId="4" xfId="0" applyFont="1" applyBorder="1" applyProtection="1">
      <protection hidden="1"/>
    </xf>
    <xf numFmtId="0" fontId="61" fillId="0" borderId="49" xfId="0" applyFont="1" applyFill="1" applyBorder="1" applyProtection="1">
      <protection hidden="1"/>
    </xf>
    <xf numFmtId="0" fontId="39" fillId="0" borderId="40" xfId="0" applyFont="1" applyFill="1" applyBorder="1" applyAlignment="1" applyProtection="1">
      <alignment horizontal="center" vertical="center"/>
      <protection hidden="1"/>
    </xf>
    <xf numFmtId="0" fontId="39" fillId="0" borderId="34" xfId="0" applyFont="1" applyBorder="1" applyAlignment="1" applyProtection="1">
      <alignment horizontal="center" vertical="center"/>
      <protection hidden="1"/>
    </xf>
    <xf numFmtId="0" fontId="39" fillId="0" borderId="0" xfId="0" applyFont="1" applyFill="1" applyBorder="1" applyProtection="1">
      <protection hidden="1"/>
    </xf>
    <xf numFmtId="170" fontId="39" fillId="0" borderId="0" xfId="0" applyNumberFormat="1" applyFont="1" applyFill="1" applyBorder="1" applyProtection="1">
      <protection hidden="1"/>
    </xf>
    <xf numFmtId="0" fontId="18" fillId="5" borderId="45" xfId="0" applyFont="1" applyFill="1" applyBorder="1" applyAlignment="1" applyProtection="1">
      <alignment horizontal="center" vertical="center" wrapText="1"/>
      <protection hidden="1"/>
    </xf>
    <xf numFmtId="0" fontId="18" fillId="5" borderId="53" xfId="0" applyFont="1" applyFill="1" applyBorder="1" applyAlignment="1" applyProtection="1">
      <alignment horizontal="center" vertical="center" wrapText="1"/>
      <protection hidden="1"/>
    </xf>
    <xf numFmtId="170" fontId="18" fillId="5" borderId="46" xfId="0" applyNumberFormat="1" applyFont="1" applyFill="1" applyBorder="1" applyAlignment="1" applyProtection="1">
      <alignment horizontal="center" vertical="center" wrapText="1"/>
      <protection hidden="1"/>
    </xf>
    <xf numFmtId="0" fontId="18" fillId="5" borderId="78" xfId="0" applyFont="1" applyFill="1" applyBorder="1" applyAlignment="1" applyProtection="1">
      <alignment horizontal="center" vertical="center" wrapText="1"/>
      <protection hidden="1"/>
    </xf>
    <xf numFmtId="0" fontId="58" fillId="0" borderId="0" xfId="0" applyFont="1" applyAlignment="1" applyProtection="1">
      <alignment horizontal="center" vertical="center" wrapText="1"/>
      <protection hidden="1"/>
    </xf>
    <xf numFmtId="0" fontId="61" fillId="0" borderId="3" xfId="0" applyFont="1" applyBorder="1" applyAlignment="1" applyProtection="1">
      <alignment vertical="center" textRotation="90" wrapText="1"/>
      <protection hidden="1"/>
    </xf>
    <xf numFmtId="0" fontId="39" fillId="0" borderId="3" xfId="0" applyFont="1" applyBorder="1" applyAlignment="1" applyProtection="1">
      <alignment horizontal="center" vertical="center"/>
      <protection hidden="1"/>
    </xf>
    <xf numFmtId="170" fontId="39" fillId="0" borderId="0" xfId="0" applyNumberFormat="1" applyFont="1" applyBorder="1" applyProtection="1">
      <protection hidden="1"/>
    </xf>
    <xf numFmtId="0" fontId="39" fillId="0" borderId="0" xfId="0" applyFont="1" applyBorder="1" applyAlignment="1" applyProtection="1">
      <alignment horizontal="center" vertical="center"/>
      <protection hidden="1"/>
    </xf>
    <xf numFmtId="170" fontId="18" fillId="5" borderId="78" xfId="0" applyNumberFormat="1" applyFont="1" applyFill="1" applyBorder="1" applyAlignment="1" applyProtection="1">
      <alignment horizontal="center" vertical="center" wrapText="1"/>
      <protection hidden="1"/>
    </xf>
    <xf numFmtId="0" fontId="39" fillId="0" borderId="7" xfId="0" applyFont="1" applyBorder="1" applyAlignment="1" applyProtection="1">
      <alignment horizontal="center" vertical="center"/>
      <protection hidden="1"/>
    </xf>
    <xf numFmtId="170" fontId="39" fillId="0" borderId="7" xfId="0" applyNumberFormat="1" applyFont="1" applyBorder="1" applyAlignment="1" applyProtection="1">
      <alignment horizontal="center" vertical="center"/>
      <protection hidden="1"/>
    </xf>
    <xf numFmtId="0" fontId="61" fillId="0" borderId="7" xfId="0" applyFont="1" applyBorder="1" applyProtection="1">
      <protection hidden="1"/>
    </xf>
    <xf numFmtId="0" fontId="39" fillId="0" borderId="8" xfId="0" applyFont="1" applyBorder="1" applyProtection="1">
      <protection hidden="1"/>
    </xf>
    <xf numFmtId="0" fontId="18" fillId="5" borderId="15" xfId="0" applyFont="1" applyFill="1" applyBorder="1" applyAlignment="1" applyProtection="1">
      <alignment horizontal="center" vertical="center" wrapText="1"/>
      <protection hidden="1"/>
    </xf>
    <xf numFmtId="0" fontId="18" fillId="5" borderId="51" xfId="0" applyFont="1" applyFill="1" applyBorder="1" applyAlignment="1" applyProtection="1">
      <alignment horizontal="center" vertical="center" wrapText="1"/>
      <protection hidden="1"/>
    </xf>
    <xf numFmtId="170" fontId="18" fillId="5" borderId="65" xfId="0" applyNumberFormat="1" applyFont="1" applyFill="1" applyBorder="1" applyAlignment="1" applyProtection="1">
      <alignment horizontal="center" vertical="center" wrapText="1"/>
      <protection hidden="1"/>
    </xf>
    <xf numFmtId="0" fontId="39" fillId="2" borderId="51" xfId="0" applyFont="1" applyFill="1" applyBorder="1" applyAlignment="1" applyProtection="1">
      <alignment horizontal="center" vertical="center"/>
      <protection hidden="1"/>
    </xf>
    <xf numFmtId="0" fontId="39" fillId="2" borderId="3" xfId="0" applyFont="1" applyFill="1" applyBorder="1" applyAlignment="1" applyProtection="1">
      <alignment horizontal="center" vertical="center"/>
      <protection hidden="1"/>
    </xf>
    <xf numFmtId="0" fontId="61" fillId="0" borderId="0" xfId="0" applyFont="1" applyBorder="1" applyAlignment="1" applyProtection="1">
      <alignment horizontal="center"/>
      <protection hidden="1"/>
    </xf>
    <xf numFmtId="0" fontId="61" fillId="2" borderId="0" xfId="0" applyFont="1" applyFill="1" applyBorder="1" applyProtection="1">
      <protection hidden="1"/>
    </xf>
    <xf numFmtId="0" fontId="39" fillId="2" borderId="0" xfId="0" applyFont="1" applyFill="1" applyBorder="1" applyAlignment="1" applyProtection="1">
      <alignment horizontal="center" vertical="center"/>
      <protection hidden="1"/>
    </xf>
    <xf numFmtId="170" fontId="39" fillId="2" borderId="0" xfId="0" applyNumberFormat="1" applyFont="1" applyFill="1" applyBorder="1" applyAlignment="1" applyProtection="1">
      <alignment horizontal="center" vertical="center"/>
      <protection hidden="1"/>
    </xf>
    <xf numFmtId="0" fontId="61" fillId="2" borderId="5" xfId="0" applyFont="1" applyFill="1" applyBorder="1" applyProtection="1">
      <protection hidden="1"/>
    </xf>
    <xf numFmtId="0" fontId="61" fillId="0" borderId="29" xfId="0" applyFont="1" applyBorder="1" applyProtection="1">
      <protection hidden="1"/>
    </xf>
    <xf numFmtId="170" fontId="39" fillId="0" borderId="3" xfId="0" applyNumberFormat="1" applyFont="1" applyBorder="1" applyAlignment="1" applyProtection="1">
      <alignment horizontal="center" vertical="center"/>
      <protection hidden="1"/>
    </xf>
    <xf numFmtId="0" fontId="39" fillId="0" borderId="16" xfId="0" applyFont="1" applyBorder="1" applyAlignment="1" applyProtection="1">
      <alignment horizontal="center" vertical="center"/>
      <protection hidden="1"/>
    </xf>
    <xf numFmtId="0" fontId="61" fillId="0" borderId="28" xfId="0" applyFont="1" applyBorder="1" applyAlignment="1" applyProtection="1">
      <alignment vertical="center"/>
      <protection hidden="1"/>
    </xf>
    <xf numFmtId="0" fontId="39" fillId="0" borderId="0" xfId="0" applyFont="1" applyBorder="1" applyAlignment="1" applyProtection="1">
      <alignment vertical="center" textRotation="90"/>
      <protection hidden="1"/>
    </xf>
    <xf numFmtId="0" fontId="61" fillId="0" borderId="0" xfId="0" applyFont="1" applyBorder="1" applyAlignment="1" applyProtection="1">
      <alignment vertical="center"/>
      <protection hidden="1"/>
    </xf>
    <xf numFmtId="170" fontId="39" fillId="0" borderId="0" xfId="0" applyNumberFormat="1" applyFont="1" applyBorder="1" applyAlignment="1" applyProtection="1">
      <alignment horizontal="center" vertical="center"/>
      <protection hidden="1"/>
    </xf>
    <xf numFmtId="14" fontId="39" fillId="0" borderId="0" xfId="0" applyNumberFormat="1" applyFont="1" applyBorder="1" applyAlignment="1" applyProtection="1">
      <alignment horizontal="center" vertical="center"/>
      <protection hidden="1"/>
    </xf>
    <xf numFmtId="0" fontId="18" fillId="5" borderId="19" xfId="0" applyFont="1" applyFill="1" applyBorder="1" applyAlignment="1" applyProtection="1">
      <alignment horizontal="center" vertical="center" wrapText="1"/>
      <protection hidden="1"/>
    </xf>
    <xf numFmtId="0" fontId="18" fillId="5" borderId="21" xfId="0" applyFont="1" applyFill="1" applyBorder="1" applyAlignment="1" applyProtection="1">
      <alignment horizontal="center" vertical="center" wrapText="1"/>
      <protection hidden="1"/>
    </xf>
    <xf numFmtId="0" fontId="18" fillId="5" borderId="22" xfId="0" applyFont="1" applyFill="1" applyBorder="1" applyAlignment="1" applyProtection="1">
      <alignment horizontal="center" vertical="center" wrapText="1"/>
      <protection hidden="1"/>
    </xf>
    <xf numFmtId="170" fontId="18" fillId="5" borderId="20" xfId="0" applyNumberFormat="1" applyFont="1" applyFill="1" applyBorder="1" applyAlignment="1" applyProtection="1">
      <alignment horizontal="center" vertical="center" wrapText="1"/>
      <protection hidden="1"/>
    </xf>
    <xf numFmtId="0" fontId="18" fillId="5" borderId="20" xfId="0" applyFont="1" applyFill="1" applyBorder="1" applyAlignment="1" applyProtection="1">
      <alignment horizontal="center" vertical="center" wrapText="1"/>
      <protection hidden="1"/>
    </xf>
    <xf numFmtId="0" fontId="61" fillId="0" borderId="0" xfId="0" applyFont="1" applyBorder="1" applyAlignment="1" applyProtection="1">
      <alignment horizontal="center" vertical="center"/>
      <protection hidden="1"/>
    </xf>
    <xf numFmtId="0" fontId="61" fillId="0" borderId="24" xfId="0" applyFont="1" applyBorder="1" applyProtection="1">
      <protection hidden="1"/>
    </xf>
    <xf numFmtId="2" fontId="39" fillId="2" borderId="0" xfId="0" applyNumberFormat="1" applyFont="1" applyFill="1" applyBorder="1" applyAlignment="1" applyProtection="1">
      <alignment horizontal="center" vertical="center"/>
      <protection hidden="1"/>
    </xf>
    <xf numFmtId="0" fontId="39" fillId="0" borderId="49" xfId="0" applyFont="1" applyBorder="1" applyProtection="1">
      <protection hidden="1"/>
    </xf>
    <xf numFmtId="0" fontId="18" fillId="5" borderId="65" xfId="0" applyFont="1" applyFill="1" applyBorder="1" applyAlignment="1" applyProtection="1">
      <alignment horizontal="center" vertical="center" wrapText="1"/>
      <protection hidden="1"/>
    </xf>
    <xf numFmtId="0" fontId="61" fillId="0" borderId="39" xfId="0" applyFont="1" applyBorder="1" applyProtection="1">
      <protection hidden="1"/>
    </xf>
    <xf numFmtId="0" fontId="39" fillId="2" borderId="0" xfId="0" applyFont="1" applyFill="1" applyBorder="1" applyProtection="1">
      <protection hidden="1"/>
    </xf>
    <xf numFmtId="0" fontId="61" fillId="0" borderId="47" xfId="0" applyFont="1" applyBorder="1" applyProtection="1">
      <protection hidden="1"/>
    </xf>
    <xf numFmtId="0" fontId="39" fillId="0" borderId="5" xfId="0" applyFont="1" applyBorder="1" applyAlignment="1" applyProtection="1">
      <alignment vertical="center" textRotation="90" wrapText="1"/>
      <protection hidden="1"/>
    </xf>
    <xf numFmtId="0" fontId="39" fillId="0" borderId="5" xfId="0" applyFont="1" applyBorder="1" applyAlignment="1" applyProtection="1">
      <alignment horizontal="center" vertical="center"/>
      <protection hidden="1"/>
    </xf>
    <xf numFmtId="0" fontId="61" fillId="0" borderId="5" xfId="0" applyFont="1" applyBorder="1" applyAlignment="1" applyProtection="1">
      <alignment vertical="center"/>
      <protection hidden="1"/>
    </xf>
    <xf numFmtId="0" fontId="39" fillId="2" borderId="5" xfId="0" applyFont="1" applyFill="1" applyBorder="1" applyAlignment="1" applyProtection="1">
      <alignment horizontal="center" vertical="center"/>
      <protection hidden="1"/>
    </xf>
    <xf numFmtId="170" fontId="39" fillId="2" borderId="5" xfId="0" applyNumberFormat="1" applyFont="1" applyFill="1" applyBorder="1" applyAlignment="1" applyProtection="1">
      <alignment horizontal="center" vertical="center"/>
      <protection hidden="1"/>
    </xf>
    <xf numFmtId="14" fontId="39" fillId="2" borderId="5" xfId="0" applyNumberFormat="1" applyFont="1" applyFill="1" applyBorder="1" applyAlignment="1" applyProtection="1">
      <alignment horizontal="center" vertical="center"/>
      <protection hidden="1"/>
    </xf>
    <xf numFmtId="0" fontId="39" fillId="2" borderId="5" xfId="0" applyFont="1" applyFill="1" applyBorder="1" applyProtection="1">
      <protection hidden="1"/>
    </xf>
    <xf numFmtId="167" fontId="5" fillId="7" borderId="40" xfId="0" applyNumberFormat="1" applyFont="1" applyFill="1" applyBorder="1" applyAlignment="1" applyProtection="1">
      <alignment horizontal="center" vertical="center" wrapText="1"/>
      <protection hidden="1"/>
    </xf>
    <xf numFmtId="165" fontId="5" fillId="7" borderId="44" xfId="0" applyNumberFormat="1" applyFont="1" applyFill="1" applyBorder="1" applyAlignment="1" applyProtection="1">
      <alignment horizontal="center" vertical="center" wrapText="1"/>
      <protection hidden="1"/>
    </xf>
    <xf numFmtId="0" fontId="65" fillId="2" borderId="23" xfId="0" applyFont="1" applyFill="1" applyBorder="1" applyAlignment="1" applyProtection="1">
      <alignment horizontal="center" vertical="center" wrapText="1"/>
      <protection hidden="1"/>
    </xf>
    <xf numFmtId="0" fontId="61" fillId="2" borderId="3" xfId="0" applyFont="1" applyFill="1" applyBorder="1" applyProtection="1">
      <protection hidden="1"/>
    </xf>
    <xf numFmtId="0" fontId="61" fillId="2" borderId="6" xfId="0" applyFont="1" applyFill="1" applyBorder="1" applyProtection="1">
      <protection hidden="1"/>
    </xf>
    <xf numFmtId="0" fontId="61" fillId="2" borderId="7" xfId="0" applyFont="1" applyFill="1" applyBorder="1" applyProtection="1">
      <protection hidden="1"/>
    </xf>
    <xf numFmtId="0" fontId="39" fillId="2" borderId="7" xfId="0" applyFont="1" applyFill="1" applyBorder="1" applyAlignment="1" applyProtection="1">
      <alignment horizontal="center" vertical="center"/>
      <protection hidden="1"/>
    </xf>
    <xf numFmtId="170" fontId="39" fillId="2" borderId="7" xfId="0" applyNumberFormat="1" applyFont="1" applyFill="1" applyBorder="1" applyAlignment="1" applyProtection="1">
      <alignment horizontal="center" vertical="center"/>
      <protection hidden="1"/>
    </xf>
    <xf numFmtId="0" fontId="39" fillId="2" borderId="8" xfId="0" applyFont="1" applyFill="1" applyBorder="1" applyProtection="1">
      <protection hidden="1"/>
    </xf>
    <xf numFmtId="0" fontId="61" fillId="0" borderId="7" xfId="0" applyFont="1" applyBorder="1" applyAlignment="1" applyProtection="1">
      <alignment horizontal="center" vertical="center"/>
      <protection hidden="1"/>
    </xf>
    <xf numFmtId="0" fontId="61" fillId="0" borderId="8" xfId="0" applyFont="1" applyBorder="1" applyAlignment="1" applyProtection="1">
      <alignment horizontal="center" vertical="center"/>
      <protection hidden="1"/>
    </xf>
    <xf numFmtId="0" fontId="39" fillId="2" borderId="0" xfId="0" applyFont="1" applyFill="1" applyBorder="1" applyAlignment="1" applyProtection="1">
      <alignment vertical="center" textRotation="90"/>
      <protection hidden="1"/>
    </xf>
    <xf numFmtId="0" fontId="39" fillId="2" borderId="3" xfId="0" applyFont="1" applyFill="1" applyBorder="1" applyAlignment="1" applyProtection="1">
      <alignment vertical="center" textRotation="90"/>
      <protection hidden="1"/>
    </xf>
    <xf numFmtId="0" fontId="39" fillId="2" borderId="5" xfId="0" applyFont="1" applyFill="1" applyBorder="1" applyAlignment="1" applyProtection="1">
      <alignment vertical="center" textRotation="90"/>
      <protection hidden="1"/>
    </xf>
    <xf numFmtId="2" fontId="5" fillId="7" borderId="23" xfId="0" applyNumberFormat="1" applyFont="1" applyFill="1" applyBorder="1" applyAlignment="1" applyProtection="1">
      <alignment horizontal="center" vertical="center" wrapText="1"/>
      <protection hidden="1"/>
    </xf>
    <xf numFmtId="14" fontId="66" fillId="5" borderId="9" xfId="0" applyNumberFormat="1" applyFont="1" applyFill="1" applyBorder="1" applyAlignment="1" applyProtection="1">
      <alignment horizontal="center" vertical="center" wrapText="1"/>
      <protection hidden="1"/>
    </xf>
    <xf numFmtId="11" fontId="2" fillId="7" borderId="11" xfId="0" applyNumberFormat="1" applyFont="1" applyFill="1" applyBorder="1" applyAlignment="1" applyProtection="1">
      <alignment horizontal="center" vertical="center" wrapText="1"/>
      <protection hidden="1"/>
    </xf>
    <xf numFmtId="166" fontId="2" fillId="7" borderId="55" xfId="0" applyNumberFormat="1" applyFont="1" applyFill="1" applyBorder="1" applyAlignment="1" applyProtection="1">
      <alignment horizontal="center" vertical="center"/>
      <protection hidden="1"/>
    </xf>
    <xf numFmtId="2" fontId="2" fillId="11" borderId="44" xfId="1" applyNumberFormat="1" applyFont="1" applyFill="1" applyBorder="1" applyAlignment="1" applyProtection="1">
      <alignment horizontal="center" vertical="center"/>
      <protection locked="0" hidden="1"/>
    </xf>
    <xf numFmtId="1" fontId="3" fillId="7" borderId="34" xfId="0" applyNumberFormat="1" applyFont="1" applyFill="1" applyBorder="1" applyAlignment="1" applyProtection="1">
      <alignment horizontal="center" vertical="center" wrapText="1"/>
      <protection hidden="1"/>
    </xf>
    <xf numFmtId="1" fontId="3" fillId="7" borderId="9" xfId="0" applyNumberFormat="1" applyFont="1" applyFill="1" applyBorder="1" applyAlignment="1" applyProtection="1">
      <alignment horizontal="center" vertical="center" wrapText="1"/>
      <protection hidden="1"/>
    </xf>
    <xf numFmtId="172" fontId="20" fillId="7" borderId="34" xfId="0" applyNumberFormat="1" applyFont="1" applyFill="1" applyBorder="1" applyAlignment="1" applyProtection="1">
      <alignment horizontal="center" vertical="center" wrapText="1"/>
      <protection hidden="1"/>
    </xf>
    <xf numFmtId="167" fontId="20" fillId="7" borderId="37" xfId="0" applyNumberFormat="1" applyFont="1" applyFill="1" applyBorder="1" applyAlignment="1" applyProtection="1">
      <alignment horizontal="center" vertical="center" wrapText="1"/>
      <protection hidden="1"/>
    </xf>
    <xf numFmtId="2" fontId="5" fillId="7" borderId="41" xfId="0" applyNumberFormat="1"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protection hidden="1"/>
    </xf>
    <xf numFmtId="2" fontId="16" fillId="16" borderId="73" xfId="1" applyNumberFormat="1" applyFont="1" applyFill="1" applyBorder="1" applyAlignment="1" applyProtection="1">
      <alignment horizontal="center" vertical="center" wrapText="1"/>
      <protection hidden="1"/>
    </xf>
    <xf numFmtId="2" fontId="16" fillId="21" borderId="2" xfId="1" applyNumberFormat="1" applyFont="1" applyFill="1" applyBorder="1" applyAlignment="1" applyProtection="1">
      <alignment horizontal="center" vertical="center" wrapText="1"/>
      <protection hidden="1"/>
    </xf>
    <xf numFmtId="2" fontId="16" fillId="21" borderId="72" xfId="1" applyNumberFormat="1" applyFont="1" applyFill="1" applyBorder="1" applyAlignment="1" applyProtection="1">
      <alignment horizontal="center" vertical="center" wrapText="1"/>
      <protection hidden="1"/>
    </xf>
    <xf numFmtId="2" fontId="16" fillId="21" borderId="67" xfId="1" applyNumberFormat="1" applyFont="1" applyFill="1" applyBorder="1" applyAlignment="1" applyProtection="1">
      <alignment horizontal="center" vertical="center" wrapText="1"/>
      <protection hidden="1"/>
    </xf>
    <xf numFmtId="2" fontId="16" fillId="16" borderId="67" xfId="1" applyNumberFormat="1" applyFont="1" applyFill="1" applyBorder="1" applyAlignment="1" applyProtection="1">
      <alignment horizontal="center" vertical="center" wrapText="1"/>
      <protection hidden="1"/>
    </xf>
    <xf numFmtId="0" fontId="61" fillId="0" borderId="40" xfId="0" applyFont="1" applyBorder="1" applyProtection="1">
      <protection hidden="1"/>
    </xf>
    <xf numFmtId="0" fontId="61" fillId="0" borderId="44" xfId="0" applyFont="1" applyFill="1" applyBorder="1" applyProtection="1">
      <protection hidden="1"/>
    </xf>
    <xf numFmtId="0" fontId="39" fillId="2" borderId="40" xfId="0" applyFont="1" applyFill="1" applyBorder="1" applyProtection="1">
      <protection hidden="1"/>
    </xf>
    <xf numFmtId="0" fontId="61" fillId="0" borderId="37" xfId="0" applyFont="1" applyBorder="1" applyProtection="1">
      <protection hidden="1"/>
    </xf>
    <xf numFmtId="166" fontId="3" fillId="7" borderId="9" xfId="0" applyNumberFormat="1" applyFont="1" applyFill="1" applyBorder="1" applyAlignment="1" applyProtection="1">
      <alignment horizontal="center" vertical="center"/>
      <protection hidden="1"/>
    </xf>
    <xf numFmtId="165" fontId="20" fillId="7" borderId="30" xfId="0" applyNumberFormat="1" applyFont="1" applyFill="1" applyBorder="1" applyAlignment="1" applyProtection="1">
      <alignment horizontal="center" vertical="center" wrapText="1"/>
      <protection hidden="1"/>
    </xf>
    <xf numFmtId="165" fontId="20" fillId="12" borderId="36" xfId="0" applyNumberFormat="1" applyFont="1" applyFill="1" applyBorder="1" applyAlignment="1" applyProtection="1">
      <alignment horizontal="center" vertical="center" wrapText="1"/>
      <protection hidden="1"/>
    </xf>
    <xf numFmtId="0" fontId="39" fillId="0" borderId="3" xfId="0" applyFont="1" applyFill="1" applyBorder="1" applyAlignment="1" applyProtection="1">
      <alignment horizontal="center" vertical="center" wrapText="1"/>
      <protection hidden="1"/>
    </xf>
    <xf numFmtId="0" fontId="39" fillId="0" borderId="3" xfId="0" applyFont="1" applyFill="1" applyBorder="1" applyAlignment="1" applyProtection="1">
      <alignment horizontal="center" vertical="center"/>
      <protection hidden="1"/>
    </xf>
    <xf numFmtId="170" fontId="39" fillId="0" borderId="3" xfId="0" applyNumberFormat="1" applyFont="1" applyFill="1" applyBorder="1" applyAlignment="1" applyProtection="1">
      <alignment horizontal="center" vertical="center"/>
      <protection hidden="1"/>
    </xf>
    <xf numFmtId="0" fontId="39" fillId="0" borderId="4" xfId="0" applyFont="1" applyFill="1" applyBorder="1" applyProtection="1">
      <protection hidden="1"/>
    </xf>
    <xf numFmtId="0" fontId="39" fillId="0" borderId="5" xfId="0" applyFont="1" applyFill="1" applyBorder="1" applyAlignment="1" applyProtection="1">
      <alignment horizontal="center" vertical="center" wrapText="1"/>
      <protection hidden="1"/>
    </xf>
    <xf numFmtId="0" fontId="39" fillId="0" borderId="5"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vertical="center" wrapText="1"/>
      <protection hidden="1"/>
    </xf>
    <xf numFmtId="170" fontId="39" fillId="0" borderId="0" xfId="0" applyNumberFormat="1" applyFont="1" applyFill="1" applyBorder="1" applyAlignment="1" applyProtection="1">
      <alignment horizontal="center" vertical="center"/>
      <protection hidden="1"/>
    </xf>
    <xf numFmtId="0" fontId="61" fillId="0" borderId="20" xfId="0" applyFont="1" applyBorder="1" applyAlignment="1" applyProtection="1">
      <alignment horizontal="center" vertical="center"/>
      <protection hidden="1"/>
    </xf>
    <xf numFmtId="0" fontId="61" fillId="0" borderId="19" xfId="0" applyFont="1" applyBorder="1" applyAlignment="1" applyProtection="1">
      <alignment horizontal="center" vertical="center"/>
      <protection hidden="1"/>
    </xf>
    <xf numFmtId="0" fontId="61" fillId="0" borderId="22" xfId="0" applyFont="1" applyBorder="1" applyAlignment="1" applyProtection="1">
      <alignment horizontal="center" vertical="center"/>
      <protection hidden="1"/>
    </xf>
    <xf numFmtId="0" fontId="39" fillId="0" borderId="49" xfId="0" applyFont="1" applyFill="1" applyBorder="1" applyProtection="1">
      <protection hidden="1"/>
    </xf>
    <xf numFmtId="0" fontId="61" fillId="0" borderId="5" xfId="0" applyFont="1" applyBorder="1" applyProtection="1">
      <protection hidden="1"/>
    </xf>
    <xf numFmtId="0" fontId="39" fillId="0" borderId="3" xfId="0" applyFont="1" applyFill="1" applyBorder="1" applyProtection="1">
      <protection hidden="1"/>
    </xf>
    <xf numFmtId="0" fontId="39" fillId="0" borderId="7" xfId="0" applyFont="1" applyBorder="1" applyProtection="1">
      <protection hidden="1"/>
    </xf>
    <xf numFmtId="0" fontId="39" fillId="0" borderId="2" xfId="0" applyFont="1" applyBorder="1" applyProtection="1">
      <protection hidden="1"/>
    </xf>
    <xf numFmtId="0" fontId="39" fillId="0" borderId="10" xfId="0" applyFont="1" applyFill="1" applyBorder="1" applyProtection="1">
      <protection hidden="1"/>
    </xf>
    <xf numFmtId="1" fontId="39" fillId="0" borderId="0" xfId="0" applyNumberFormat="1" applyFont="1" applyFill="1" applyBorder="1" applyAlignment="1" applyProtection="1">
      <alignment vertical="center" wrapText="1"/>
      <protection hidden="1"/>
    </xf>
    <xf numFmtId="166" fontId="39" fillId="0" borderId="0" xfId="0" applyNumberFormat="1" applyFont="1" applyBorder="1" applyAlignment="1" applyProtection="1">
      <alignment horizontal="center" vertical="center"/>
      <protection hidden="1"/>
    </xf>
    <xf numFmtId="0" fontId="61" fillId="0" borderId="49" xfId="0" applyFont="1" applyFill="1" applyBorder="1" applyAlignment="1" applyProtection="1">
      <alignment horizontal="center" vertical="center"/>
      <protection hidden="1"/>
    </xf>
    <xf numFmtId="166" fontId="3" fillId="6" borderId="32" xfId="0" applyNumberFormat="1" applyFont="1" applyFill="1" applyBorder="1" applyAlignment="1" applyProtection="1">
      <alignment horizontal="center" vertical="center"/>
      <protection locked="0" hidden="1"/>
    </xf>
    <xf numFmtId="0" fontId="3" fillId="6" borderId="44" xfId="0" applyFont="1" applyFill="1" applyBorder="1" applyAlignment="1" applyProtection="1">
      <alignment horizontal="center" vertical="center"/>
      <protection locked="0" hidden="1"/>
    </xf>
    <xf numFmtId="0" fontId="3" fillId="6" borderId="44" xfId="0" applyFont="1" applyFill="1" applyBorder="1" applyAlignment="1" applyProtection="1">
      <alignment horizontal="center" vertical="center" wrapText="1"/>
      <protection locked="0" hidden="1"/>
    </xf>
    <xf numFmtId="2" fontId="20" fillId="0" borderId="0" xfId="0" applyNumberFormat="1" applyFont="1" applyAlignment="1" applyProtection="1">
      <alignment vertical="center" wrapText="1"/>
      <protection hidden="1"/>
    </xf>
    <xf numFmtId="0" fontId="20" fillId="2" borderId="3" xfId="0" applyFont="1" applyFill="1" applyBorder="1" applyAlignment="1" applyProtection="1">
      <alignment vertical="center" wrapText="1"/>
      <protection hidden="1"/>
    </xf>
    <xf numFmtId="0" fontId="20" fillId="2" borderId="4" xfId="0" applyFont="1" applyFill="1" applyBorder="1" applyAlignment="1" applyProtection="1">
      <alignment vertical="center" wrapText="1"/>
      <protection hidden="1"/>
    </xf>
    <xf numFmtId="0" fontId="20" fillId="2" borderId="47" xfId="0" applyFont="1" applyFill="1" applyBorder="1" applyAlignment="1" applyProtection="1">
      <alignment vertical="center" wrapText="1"/>
      <protection hidden="1"/>
    </xf>
    <xf numFmtId="0" fontId="20" fillId="2" borderId="5" xfId="0" applyFont="1" applyFill="1" applyBorder="1" applyAlignment="1" applyProtection="1">
      <alignment vertical="center" wrapText="1"/>
      <protection hidden="1"/>
    </xf>
    <xf numFmtId="0" fontId="20" fillId="2" borderId="38" xfId="0" applyFont="1" applyFill="1" applyBorder="1" applyAlignment="1" applyProtection="1">
      <alignment vertical="center" wrapText="1"/>
      <protection hidden="1"/>
    </xf>
    <xf numFmtId="166" fontId="3" fillId="7" borderId="40" xfId="0" applyNumberFormat="1" applyFont="1" applyFill="1" applyBorder="1" applyAlignment="1" applyProtection="1">
      <alignment horizontal="center" vertical="center"/>
      <protection hidden="1"/>
    </xf>
    <xf numFmtId="1" fontId="3" fillId="6" borderId="40" xfId="0" applyNumberFormat="1" applyFont="1" applyFill="1" applyBorder="1" applyAlignment="1" applyProtection="1">
      <alignment horizontal="center" vertical="center"/>
      <protection locked="0" hidden="1"/>
    </xf>
    <xf numFmtId="1" fontId="3" fillId="6" borderId="40" xfId="0" applyNumberFormat="1" applyFont="1" applyFill="1" applyBorder="1" applyAlignment="1" applyProtection="1">
      <alignment horizontal="center" vertical="center" wrapText="1"/>
      <protection locked="0" hidden="1"/>
    </xf>
    <xf numFmtId="1" fontId="3" fillId="7" borderId="41" xfId="0" applyNumberFormat="1" applyFont="1" applyFill="1" applyBorder="1" applyAlignment="1" applyProtection="1">
      <alignment horizontal="center" vertical="center" wrapText="1"/>
      <protection hidden="1"/>
    </xf>
    <xf numFmtId="166" fontId="3" fillId="7" borderId="44" xfId="0" applyNumberFormat="1" applyFont="1" applyFill="1" applyBorder="1" applyAlignment="1" applyProtection="1">
      <alignment horizontal="center" vertical="center"/>
      <protection hidden="1"/>
    </xf>
    <xf numFmtId="1" fontId="3" fillId="6" borderId="44" xfId="0" applyNumberFormat="1" applyFont="1" applyFill="1" applyBorder="1" applyAlignment="1" applyProtection="1">
      <alignment horizontal="center" vertical="center"/>
      <protection locked="0" hidden="1"/>
    </xf>
    <xf numFmtId="1" fontId="3" fillId="6" borderId="44" xfId="0" applyNumberFormat="1" applyFont="1" applyFill="1" applyBorder="1" applyAlignment="1" applyProtection="1">
      <alignment horizontal="center" vertical="center" wrapText="1"/>
      <protection locked="0" hidden="1"/>
    </xf>
    <xf numFmtId="1" fontId="3" fillId="7" borderId="37" xfId="0" applyNumberFormat="1" applyFont="1" applyFill="1" applyBorder="1" applyAlignment="1" applyProtection="1">
      <alignment horizontal="center" vertical="center" wrapText="1"/>
      <protection hidden="1"/>
    </xf>
    <xf numFmtId="166" fontId="3" fillId="6" borderId="43" xfId="0" applyNumberFormat="1" applyFont="1" applyFill="1" applyBorder="1" applyAlignment="1" applyProtection="1">
      <alignment horizontal="center" vertical="center"/>
      <protection locked="0" hidden="1"/>
    </xf>
    <xf numFmtId="1" fontId="3" fillId="7" borderId="44" xfId="0" applyNumberFormat="1" applyFont="1" applyFill="1" applyBorder="1" applyAlignment="1" applyProtection="1">
      <alignment horizontal="center" vertical="center" wrapText="1"/>
      <protection hidden="1"/>
    </xf>
    <xf numFmtId="0" fontId="3" fillId="6" borderId="39" xfId="0" applyFont="1" applyFill="1" applyBorder="1" applyAlignment="1" applyProtection="1">
      <alignment horizontal="center" vertical="center"/>
      <protection locked="0" hidden="1"/>
    </xf>
    <xf numFmtId="0" fontId="3" fillId="6" borderId="40" xfId="0" applyFont="1" applyFill="1" applyBorder="1" applyAlignment="1" applyProtection="1">
      <alignment horizontal="center" vertical="center"/>
      <protection locked="0" hidden="1"/>
    </xf>
    <xf numFmtId="0" fontId="3" fillId="6" borderId="40" xfId="0" applyFont="1" applyFill="1" applyBorder="1" applyAlignment="1" applyProtection="1">
      <alignment horizontal="center" vertical="center" wrapText="1"/>
      <protection locked="0" hidden="1"/>
    </xf>
    <xf numFmtId="1" fontId="3" fillId="7" borderId="40" xfId="0" applyNumberFormat="1" applyFont="1" applyFill="1" applyBorder="1" applyAlignment="1" applyProtection="1">
      <alignment horizontal="center" vertical="center" wrapText="1"/>
      <protection hidden="1"/>
    </xf>
    <xf numFmtId="0" fontId="3" fillId="6" borderId="41" xfId="0" applyFont="1" applyFill="1" applyBorder="1" applyAlignment="1" applyProtection="1">
      <alignment horizontal="center" vertical="center" wrapText="1"/>
      <protection locked="0" hidden="1"/>
    </xf>
    <xf numFmtId="0" fontId="7" fillId="5" borderId="19" xfId="0"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wrapText="1"/>
      <protection hidden="1"/>
    </xf>
    <xf numFmtId="0" fontId="25" fillId="5" borderId="22"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24" fillId="5" borderId="19" xfId="0" applyFont="1" applyFill="1" applyBorder="1" applyAlignment="1" applyProtection="1">
      <alignment horizontal="center" vertical="center" wrapText="1"/>
      <protection hidden="1"/>
    </xf>
    <xf numFmtId="0" fontId="39" fillId="0" borderId="41" xfId="0" applyFont="1" applyBorder="1" applyProtection="1">
      <protection hidden="1"/>
    </xf>
    <xf numFmtId="0" fontId="1" fillId="5" borderId="9" xfId="0"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protection hidden="1"/>
    </xf>
    <xf numFmtId="0" fontId="2" fillId="3" borderId="32" xfId="0" applyFont="1" applyFill="1" applyBorder="1" applyAlignment="1" applyProtection="1">
      <alignment horizontal="center" vertical="center"/>
      <protection hidden="1"/>
    </xf>
    <xf numFmtId="0" fontId="1" fillId="5" borderId="34" xfId="0" applyFont="1" applyFill="1" applyBorder="1" applyAlignment="1" applyProtection="1">
      <alignment horizontal="center" vertical="center" wrapText="1"/>
      <protection hidden="1"/>
    </xf>
    <xf numFmtId="0" fontId="2" fillId="3" borderId="43" xfId="0" applyFont="1" applyFill="1" applyBorder="1" applyAlignment="1" applyProtection="1">
      <alignment horizontal="center" vertical="center"/>
      <protection hidden="1"/>
    </xf>
    <xf numFmtId="0" fontId="1" fillId="5" borderId="44" xfId="0" applyFont="1" applyFill="1" applyBorder="1" applyAlignment="1" applyProtection="1">
      <alignment horizontal="center" vertical="center" wrapText="1"/>
      <protection hidden="1"/>
    </xf>
    <xf numFmtId="0" fontId="1" fillId="5" borderId="37" xfId="0" applyFont="1" applyFill="1" applyBorder="1" applyAlignment="1" applyProtection="1">
      <alignment horizontal="center" vertical="center" wrapText="1"/>
      <protection hidden="1"/>
    </xf>
    <xf numFmtId="0" fontId="1" fillId="5" borderId="30" xfId="0" applyFont="1" applyFill="1" applyBorder="1" applyAlignment="1" applyProtection="1">
      <alignment horizontal="center" vertical="center" wrapText="1"/>
      <protection hidden="1"/>
    </xf>
    <xf numFmtId="0" fontId="2" fillId="3" borderId="30" xfId="0" applyFont="1" applyFill="1" applyBorder="1" applyAlignment="1" applyProtection="1">
      <alignment horizontal="center" vertical="center"/>
      <protection hidden="1"/>
    </xf>
    <xf numFmtId="2" fontId="2" fillId="12" borderId="18" xfId="0" applyNumberFormat="1" applyFont="1" applyFill="1" applyBorder="1" applyAlignment="1" applyProtection="1">
      <alignment horizontal="center" vertical="center"/>
      <protection hidden="1"/>
    </xf>
    <xf numFmtId="0" fontId="6" fillId="5" borderId="20" xfId="0" applyFont="1" applyFill="1" applyBorder="1" applyAlignment="1" applyProtection="1">
      <alignment horizontal="center" vertical="center" wrapText="1"/>
      <protection hidden="1"/>
    </xf>
    <xf numFmtId="0" fontId="1" fillId="5" borderId="22" xfId="0" applyFont="1" applyFill="1" applyBorder="1" applyAlignment="1" applyProtection="1">
      <alignment horizontal="center" vertical="center"/>
      <protection hidden="1"/>
    </xf>
    <xf numFmtId="0" fontId="9" fillId="24" borderId="71" xfId="6" applyBorder="1" applyAlignment="1" applyProtection="1">
      <alignment horizontal="center" vertical="center" wrapText="1"/>
      <protection locked="0" hidden="1"/>
    </xf>
    <xf numFmtId="0" fontId="9" fillId="24" borderId="50" xfId="6" applyBorder="1" applyAlignment="1" applyProtection="1">
      <alignment horizontal="center" vertical="center" wrapText="1"/>
      <protection locked="0" hidden="1"/>
    </xf>
    <xf numFmtId="0" fontId="18" fillId="5" borderId="71" xfId="0" applyFont="1" applyFill="1" applyBorder="1" applyAlignment="1" applyProtection="1">
      <alignment horizontal="center" vertical="center"/>
      <protection hidden="1"/>
    </xf>
    <xf numFmtId="0" fontId="18" fillId="5" borderId="71" xfId="0" applyFont="1" applyFill="1" applyBorder="1" applyAlignment="1" applyProtection="1">
      <alignment horizontal="center" vertical="center" wrapText="1"/>
      <protection hidden="1"/>
    </xf>
    <xf numFmtId="0" fontId="61" fillId="0" borderId="40" xfId="0" applyFont="1" applyBorder="1" applyAlignment="1" applyProtection="1">
      <alignment horizontal="center"/>
      <protection hidden="1"/>
    </xf>
    <xf numFmtId="0" fontId="39" fillId="0" borderId="41" xfId="0" applyFont="1" applyBorder="1" applyAlignment="1" applyProtection="1">
      <alignment horizontal="center"/>
      <protection hidden="1"/>
    </xf>
    <xf numFmtId="0" fontId="9" fillId="24" borderId="8" xfId="6" applyBorder="1" applyAlignment="1" applyProtection="1">
      <alignment horizontal="center" vertical="center" wrapText="1"/>
      <protection locked="0" hidden="1"/>
    </xf>
    <xf numFmtId="0" fontId="1" fillId="4" borderId="39" xfId="0" applyFont="1" applyFill="1" applyBorder="1" applyAlignment="1" applyProtection="1">
      <alignment horizontal="center" vertical="center" wrapText="1"/>
      <protection hidden="1"/>
    </xf>
    <xf numFmtId="165" fontId="2" fillId="12" borderId="41" xfId="0" applyNumberFormat="1" applyFont="1" applyFill="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2" fontId="2" fillId="13" borderId="34" xfId="0" applyNumberFormat="1" applyFont="1" applyFill="1" applyBorder="1" applyAlignment="1" applyProtection="1">
      <alignment horizontal="center" vertical="center"/>
      <protection hidden="1"/>
    </xf>
    <xf numFmtId="0" fontId="1" fillId="4" borderId="43" xfId="0" applyFont="1" applyFill="1" applyBorder="1" applyAlignment="1" applyProtection="1">
      <alignment horizontal="center" vertical="center" wrapText="1"/>
      <protection hidden="1"/>
    </xf>
    <xf numFmtId="0" fontId="39" fillId="0" borderId="51" xfId="0" applyFont="1" applyBorder="1" applyAlignment="1" applyProtection="1">
      <alignment horizontal="center"/>
      <protection hidden="1"/>
    </xf>
    <xf numFmtId="0" fontId="39" fillId="0" borderId="65" xfId="0" applyFont="1" applyBorder="1" applyAlignment="1" applyProtection="1">
      <alignment horizontal="center"/>
      <protection hidden="1"/>
    </xf>
    <xf numFmtId="2" fontId="18" fillId="16" borderId="20" xfId="1" applyNumberFormat="1" applyFont="1" applyFill="1" applyBorder="1" applyAlignment="1" applyProtection="1">
      <alignment horizontal="center" vertical="center" wrapText="1"/>
      <protection hidden="1"/>
    </xf>
    <xf numFmtId="2" fontId="18" fillId="16" borderId="1" xfId="1" applyNumberFormat="1" applyFont="1" applyFill="1" applyBorder="1" applyAlignment="1" applyProtection="1">
      <alignment horizontal="center" vertical="center" wrapText="1"/>
      <protection hidden="1"/>
    </xf>
    <xf numFmtId="2" fontId="18" fillId="21" borderId="20" xfId="1" applyNumberFormat="1" applyFont="1" applyFill="1" applyBorder="1" applyAlignment="1" applyProtection="1">
      <alignment horizontal="center" vertical="center" wrapText="1"/>
      <protection hidden="1"/>
    </xf>
    <xf numFmtId="170" fontId="61" fillId="0" borderId="0" xfId="0" applyNumberFormat="1" applyFont="1" applyFill="1" applyBorder="1" applyProtection="1">
      <protection hidden="1"/>
    </xf>
    <xf numFmtId="0" fontId="39" fillId="2" borderId="55" xfId="0" applyFont="1" applyFill="1" applyBorder="1" applyAlignment="1" applyProtection="1">
      <alignment horizontal="center"/>
      <protection hidden="1"/>
    </xf>
    <xf numFmtId="0" fontId="39" fillId="2" borderId="57" xfId="0" applyFont="1" applyFill="1" applyBorder="1" applyAlignment="1" applyProtection="1">
      <alignment horizontal="center"/>
      <protection hidden="1"/>
    </xf>
    <xf numFmtId="0" fontId="39" fillId="21" borderId="1" xfId="0" applyFont="1" applyFill="1" applyBorder="1" applyAlignment="1" applyProtection="1">
      <alignment horizontal="center" vertical="center"/>
      <protection hidden="1"/>
    </xf>
    <xf numFmtId="2" fontId="39" fillId="0" borderId="0" xfId="0" applyNumberFormat="1" applyFont="1" applyBorder="1" applyAlignment="1" applyProtection="1">
      <alignment horizontal="center" vertical="center"/>
      <protection hidden="1"/>
    </xf>
    <xf numFmtId="2" fontId="2" fillId="2" borderId="0" xfId="0" applyNumberFormat="1" applyFont="1" applyFill="1" applyProtection="1">
      <protection hidden="1"/>
    </xf>
    <xf numFmtId="2" fontId="20" fillId="15" borderId="22" xfId="0" applyNumberFormat="1" applyFont="1" applyFill="1" applyBorder="1" applyAlignment="1" applyProtection="1">
      <alignment horizontal="center" vertical="center" wrapText="1"/>
      <protection hidden="1"/>
    </xf>
    <xf numFmtId="167" fontId="5" fillId="5" borderId="69" xfId="0" applyNumberFormat="1" applyFont="1" applyFill="1" applyBorder="1" applyAlignment="1" applyProtection="1">
      <alignment horizontal="center" vertical="center" wrapText="1"/>
      <protection hidden="1"/>
    </xf>
    <xf numFmtId="1" fontId="9" fillId="24" borderId="1" xfId="6" applyNumberFormat="1" applyBorder="1" applyAlignment="1" applyProtection="1">
      <alignment horizontal="center" vertical="center"/>
      <protection locked="0" hidden="1"/>
    </xf>
    <xf numFmtId="0" fontId="37" fillId="7" borderId="34" xfId="0" applyFont="1" applyFill="1" applyBorder="1" applyAlignment="1" applyProtection="1">
      <alignment horizontal="center" vertical="center" wrapText="1"/>
      <protection hidden="1"/>
    </xf>
    <xf numFmtId="0" fontId="37" fillId="7" borderId="9" xfId="0" applyFont="1" applyFill="1" applyBorder="1" applyAlignment="1" applyProtection="1">
      <alignment horizontal="center" vertical="center" wrapText="1"/>
      <protection hidden="1"/>
    </xf>
    <xf numFmtId="0" fontId="39" fillId="32" borderId="0" xfId="0" applyFont="1" applyFill="1" applyBorder="1" applyProtection="1">
      <protection hidden="1"/>
    </xf>
    <xf numFmtId="0" fontId="39" fillId="7" borderId="9" xfId="0" applyFont="1" applyFill="1" applyBorder="1" applyAlignment="1" applyProtection="1">
      <alignment horizontal="center" vertical="center"/>
      <protection hidden="1"/>
    </xf>
    <xf numFmtId="0" fontId="39" fillId="7" borderId="9" xfId="0" applyFont="1" applyFill="1" applyBorder="1" applyAlignment="1" applyProtection="1">
      <alignment horizontal="center" wrapText="1"/>
      <protection hidden="1"/>
    </xf>
    <xf numFmtId="0" fontId="39" fillId="7" borderId="32" xfId="0" applyFont="1" applyFill="1" applyBorder="1" applyAlignment="1" applyProtection="1">
      <alignment horizontal="center" vertical="center"/>
      <protection hidden="1"/>
    </xf>
    <xf numFmtId="1" fontId="20" fillId="7" borderId="9" xfId="0" applyNumberFormat="1" applyFont="1" applyFill="1" applyBorder="1" applyAlignment="1" applyProtection="1">
      <alignment horizontal="center" vertical="center" wrapText="1"/>
      <protection hidden="1"/>
    </xf>
    <xf numFmtId="0" fontId="20" fillId="7" borderId="34" xfId="0" applyFont="1" applyFill="1" applyBorder="1" applyAlignment="1" applyProtection="1">
      <alignment horizontal="center" vertical="center"/>
      <protection hidden="1"/>
    </xf>
    <xf numFmtId="0" fontId="18" fillId="7" borderId="39" xfId="0" applyFont="1" applyFill="1" applyBorder="1" applyAlignment="1" applyProtection="1">
      <alignment horizontal="center" vertical="center"/>
      <protection hidden="1"/>
    </xf>
    <xf numFmtId="0" fontId="18" fillId="7" borderId="43" xfId="0" applyFont="1" applyFill="1" applyBorder="1" applyAlignment="1" applyProtection="1">
      <alignment horizontal="center" vertical="center"/>
      <protection hidden="1"/>
    </xf>
    <xf numFmtId="2" fontId="39" fillId="7" borderId="9" xfId="0" applyNumberFormat="1" applyFont="1" applyFill="1" applyBorder="1" applyAlignment="1" applyProtection="1">
      <alignment vertical="center"/>
      <protection hidden="1"/>
    </xf>
    <xf numFmtId="0" fontId="39" fillId="7" borderId="9" xfId="0" applyFont="1" applyFill="1" applyBorder="1" applyAlignment="1" applyProtection="1">
      <alignment vertical="center"/>
      <protection hidden="1"/>
    </xf>
    <xf numFmtId="0" fontId="39" fillId="7" borderId="11" xfId="0" applyFont="1" applyFill="1" applyBorder="1" applyAlignment="1" applyProtection="1">
      <alignment vertical="center"/>
      <protection hidden="1"/>
    </xf>
    <xf numFmtId="0" fontId="39" fillId="7" borderId="23" xfId="0" applyFont="1" applyFill="1" applyBorder="1" applyAlignment="1" applyProtection="1">
      <alignment vertical="center"/>
      <protection hidden="1"/>
    </xf>
    <xf numFmtId="0" fontId="39" fillId="7" borderId="34" xfId="0" applyFont="1" applyFill="1" applyBorder="1" applyAlignment="1" applyProtection="1">
      <alignment vertical="center" wrapText="1"/>
      <protection hidden="1"/>
    </xf>
    <xf numFmtId="0" fontId="39" fillId="7" borderId="43" xfId="0" applyFont="1" applyFill="1" applyBorder="1" applyAlignment="1" applyProtection="1">
      <alignment horizontal="center" vertical="center"/>
      <protection hidden="1"/>
    </xf>
    <xf numFmtId="2" fontId="39" fillId="7" borderId="44" xfId="0" applyNumberFormat="1" applyFont="1" applyFill="1" applyBorder="1" applyAlignment="1" applyProtection="1">
      <alignment vertical="center"/>
      <protection hidden="1"/>
    </xf>
    <xf numFmtId="0" fontId="39" fillId="7" borderId="44" xfId="0" applyFont="1" applyFill="1" applyBorder="1" applyAlignment="1" applyProtection="1">
      <alignment vertical="center"/>
      <protection hidden="1"/>
    </xf>
    <xf numFmtId="0" fontId="18" fillId="7" borderId="39" xfId="0" applyFont="1" applyFill="1" applyBorder="1" applyAlignment="1" applyProtection="1">
      <alignment horizontal="center" vertical="center" wrapText="1"/>
      <protection hidden="1"/>
    </xf>
    <xf numFmtId="2" fontId="39" fillId="7" borderId="40" xfId="0" applyNumberFormat="1" applyFont="1" applyFill="1" applyBorder="1" applyAlignment="1" applyProtection="1">
      <alignment horizontal="center" vertical="center" wrapText="1"/>
      <protection hidden="1"/>
    </xf>
    <xf numFmtId="0" fontId="39" fillId="7" borderId="40" xfId="0" applyFont="1" applyFill="1" applyBorder="1" applyAlignment="1" applyProtection="1">
      <alignment horizontal="center" vertical="center"/>
      <protection hidden="1"/>
    </xf>
    <xf numFmtId="165" fontId="39" fillId="7" borderId="40" xfId="0" applyNumberFormat="1" applyFont="1" applyFill="1" applyBorder="1" applyAlignment="1" applyProtection="1">
      <alignment horizontal="center" vertical="center" wrapText="1"/>
      <protection hidden="1"/>
    </xf>
    <xf numFmtId="0" fontId="39" fillId="7" borderId="41" xfId="0" applyFont="1" applyFill="1" applyBorder="1" applyAlignment="1" applyProtection="1">
      <alignment horizontal="center" vertical="center" wrapText="1"/>
      <protection hidden="1"/>
    </xf>
    <xf numFmtId="0" fontId="18" fillId="7" borderId="43" xfId="0" applyFont="1" applyFill="1" applyBorder="1" applyAlignment="1" applyProtection="1">
      <alignment horizontal="center" vertical="center" wrapText="1"/>
      <protection hidden="1"/>
    </xf>
    <xf numFmtId="14" fontId="39" fillId="7" borderId="44" xfId="0" applyNumberFormat="1" applyFont="1" applyFill="1" applyBorder="1" applyAlignment="1" applyProtection="1">
      <alignment horizontal="center" vertical="center" wrapText="1"/>
      <protection hidden="1"/>
    </xf>
    <xf numFmtId="2" fontId="39" fillId="7" borderId="44" xfId="0" applyNumberFormat="1" applyFont="1" applyFill="1" applyBorder="1" applyAlignment="1" applyProtection="1">
      <alignment horizontal="center" vertical="center" wrapText="1"/>
      <protection hidden="1"/>
    </xf>
    <xf numFmtId="0" fontId="39" fillId="7" borderId="53" xfId="0" applyFont="1" applyFill="1" applyBorder="1" applyAlignment="1" applyProtection="1">
      <alignment horizontal="center" vertical="center"/>
      <protection hidden="1"/>
    </xf>
    <xf numFmtId="165" fontId="39" fillId="7" borderId="44" xfId="0" applyNumberFormat="1" applyFont="1" applyFill="1" applyBorder="1" applyAlignment="1" applyProtection="1">
      <alignment horizontal="center" vertical="center" wrapText="1"/>
      <protection hidden="1"/>
    </xf>
    <xf numFmtId="0" fontId="39" fillId="7" borderId="37" xfId="0" applyFont="1" applyFill="1" applyBorder="1" applyAlignment="1" applyProtection="1">
      <alignment horizontal="center" vertical="center" wrapText="1"/>
      <protection hidden="1"/>
    </xf>
    <xf numFmtId="0" fontId="39" fillId="7" borderId="48" xfId="0" applyFont="1" applyFill="1" applyBorder="1" applyAlignment="1" applyProtection="1">
      <alignment horizontal="center" vertical="center"/>
      <protection hidden="1"/>
    </xf>
    <xf numFmtId="0" fontId="39" fillId="7" borderId="21" xfId="0" applyFont="1" applyFill="1" applyBorder="1" applyAlignment="1" applyProtection="1">
      <alignment horizontal="center" vertical="center"/>
      <protection hidden="1"/>
    </xf>
    <xf numFmtId="1" fontId="39" fillId="7" borderId="39" xfId="0" applyNumberFormat="1" applyFont="1" applyFill="1" applyBorder="1" applyAlignment="1" applyProtection="1">
      <alignment vertical="center" wrapText="1"/>
      <protection hidden="1"/>
    </xf>
    <xf numFmtId="166" fontId="39" fillId="7" borderId="40" xfId="0" applyNumberFormat="1" applyFont="1" applyFill="1" applyBorder="1" applyAlignment="1" applyProtection="1">
      <alignment horizontal="center" vertical="center"/>
      <protection hidden="1"/>
    </xf>
    <xf numFmtId="167" fontId="39" fillId="7" borderId="40" xfId="0" applyNumberFormat="1" applyFont="1" applyFill="1" applyBorder="1" applyAlignment="1" applyProtection="1">
      <alignment horizontal="center" vertical="center"/>
      <protection hidden="1"/>
    </xf>
    <xf numFmtId="170" fontId="39" fillId="7" borderId="40" xfId="0" applyNumberFormat="1" applyFont="1" applyFill="1" applyBorder="1" applyAlignment="1" applyProtection="1">
      <alignment horizontal="center" vertical="center"/>
      <protection hidden="1"/>
    </xf>
    <xf numFmtId="1" fontId="39" fillId="7" borderId="32" xfId="0" applyNumberFormat="1" applyFont="1" applyFill="1" applyBorder="1" applyAlignment="1" applyProtection="1">
      <alignment vertical="center" wrapText="1"/>
      <protection hidden="1"/>
    </xf>
    <xf numFmtId="166" fontId="39" fillId="7" borderId="9" xfId="0" applyNumberFormat="1" applyFont="1" applyFill="1" applyBorder="1" applyAlignment="1" applyProtection="1">
      <alignment horizontal="center" vertical="center"/>
      <protection hidden="1"/>
    </xf>
    <xf numFmtId="167" fontId="39" fillId="7" borderId="9" xfId="0" applyNumberFormat="1" applyFont="1" applyFill="1" applyBorder="1" applyAlignment="1" applyProtection="1">
      <alignment horizontal="center" vertical="center"/>
      <protection hidden="1"/>
    </xf>
    <xf numFmtId="170" fontId="39" fillId="7" borderId="9" xfId="0" applyNumberFormat="1" applyFont="1" applyFill="1" applyBorder="1" applyAlignment="1" applyProtection="1">
      <alignment horizontal="center" vertical="center"/>
      <protection hidden="1"/>
    </xf>
    <xf numFmtId="1" fontId="39" fillId="7" borderId="43" xfId="0" applyNumberFormat="1" applyFont="1" applyFill="1" applyBorder="1" applyAlignment="1" applyProtection="1">
      <alignment vertical="center" wrapText="1"/>
      <protection hidden="1"/>
    </xf>
    <xf numFmtId="0" fontId="39" fillId="7" borderId="44" xfId="0" applyFont="1" applyFill="1" applyBorder="1" applyAlignment="1" applyProtection="1">
      <alignment horizontal="center" vertical="center"/>
      <protection hidden="1"/>
    </xf>
    <xf numFmtId="0" fontId="61" fillId="7" borderId="0" xfId="0" applyFont="1" applyFill="1" applyProtection="1">
      <protection hidden="1"/>
    </xf>
    <xf numFmtId="165" fontId="39" fillId="7" borderId="39" xfId="0" applyNumberFormat="1" applyFont="1" applyFill="1" applyBorder="1" applyAlignment="1" applyProtection="1">
      <alignment horizontal="center" vertical="center"/>
      <protection hidden="1"/>
    </xf>
    <xf numFmtId="165" fontId="61" fillId="7" borderId="41" xfId="0" applyNumberFormat="1" applyFont="1" applyFill="1" applyBorder="1" applyAlignment="1" applyProtection="1">
      <alignment horizontal="center" vertical="center"/>
      <protection hidden="1"/>
    </xf>
    <xf numFmtId="165" fontId="39" fillId="7" borderId="32" xfId="0" applyNumberFormat="1" applyFont="1" applyFill="1" applyBorder="1" applyAlignment="1" applyProtection="1">
      <alignment horizontal="center" vertical="center"/>
      <protection hidden="1"/>
    </xf>
    <xf numFmtId="165" fontId="61" fillId="7" borderId="34" xfId="0" applyNumberFormat="1" applyFont="1" applyFill="1" applyBorder="1" applyAlignment="1" applyProtection="1">
      <alignment horizontal="center" vertical="center"/>
      <protection hidden="1"/>
    </xf>
    <xf numFmtId="165" fontId="39" fillId="7" borderId="43" xfId="0" applyNumberFormat="1" applyFont="1" applyFill="1" applyBorder="1" applyAlignment="1" applyProtection="1">
      <alignment horizontal="center" vertical="center"/>
      <protection hidden="1"/>
    </xf>
    <xf numFmtId="165" fontId="61" fillId="7" borderId="37" xfId="0" applyNumberFormat="1" applyFont="1" applyFill="1" applyBorder="1" applyAlignment="1" applyProtection="1">
      <alignment horizontal="center" vertical="center"/>
      <protection hidden="1"/>
    </xf>
    <xf numFmtId="166" fontId="61" fillId="7" borderId="41" xfId="0" applyNumberFormat="1" applyFont="1" applyFill="1" applyBorder="1" applyAlignment="1" applyProtection="1">
      <alignment horizontal="center" vertical="center"/>
      <protection hidden="1"/>
    </xf>
    <xf numFmtId="166" fontId="61" fillId="7" borderId="34" xfId="0" applyNumberFormat="1" applyFont="1" applyFill="1" applyBorder="1" applyAlignment="1" applyProtection="1">
      <alignment horizontal="center" vertical="center"/>
      <protection hidden="1"/>
    </xf>
    <xf numFmtId="166" fontId="61" fillId="7" borderId="37" xfId="0" applyNumberFormat="1" applyFont="1" applyFill="1" applyBorder="1" applyAlignment="1" applyProtection="1">
      <alignment horizontal="center" vertical="center"/>
      <protection hidden="1"/>
    </xf>
    <xf numFmtId="0" fontId="39" fillId="7" borderId="39" xfId="0" applyFont="1" applyFill="1" applyBorder="1" applyAlignment="1" applyProtection="1">
      <alignment horizontal="center" vertical="center"/>
      <protection hidden="1"/>
    </xf>
    <xf numFmtId="0" fontId="61" fillId="7" borderId="40" xfId="0" applyFont="1" applyFill="1" applyBorder="1" applyAlignment="1" applyProtection="1">
      <alignment horizontal="center" wrapText="1"/>
      <protection hidden="1"/>
    </xf>
    <xf numFmtId="0" fontId="61" fillId="7" borderId="9" xfId="0" applyFont="1" applyFill="1" applyBorder="1" applyAlignment="1" applyProtection="1">
      <alignment horizontal="center" vertical="center"/>
      <protection hidden="1"/>
    </xf>
    <xf numFmtId="170" fontId="61" fillId="7" borderId="9" xfId="0" applyNumberFormat="1" applyFont="1" applyFill="1" applyBorder="1" applyAlignment="1" applyProtection="1">
      <alignment horizontal="center" vertical="center"/>
      <protection hidden="1"/>
    </xf>
    <xf numFmtId="0" fontId="61" fillId="7" borderId="44" xfId="0" applyFont="1" applyFill="1" applyBorder="1" applyAlignment="1" applyProtection="1">
      <alignment horizontal="center" vertical="center"/>
      <protection hidden="1"/>
    </xf>
    <xf numFmtId="0" fontId="61" fillId="7" borderId="44" xfId="0" applyFont="1" applyFill="1" applyBorder="1" applyAlignment="1" applyProtection="1">
      <alignment horizontal="center" vertical="center" wrapText="1"/>
      <protection hidden="1"/>
    </xf>
    <xf numFmtId="167" fontId="61" fillId="7" borderId="44" xfId="0" applyNumberFormat="1" applyFont="1" applyFill="1" applyBorder="1" applyAlignment="1" applyProtection="1">
      <alignment horizontal="center" vertical="center"/>
      <protection hidden="1"/>
    </xf>
    <xf numFmtId="170" fontId="61" fillId="7" borderId="44" xfId="0" applyNumberFormat="1" applyFont="1" applyFill="1" applyBorder="1" applyAlignment="1" applyProtection="1">
      <alignment horizontal="center" vertical="center"/>
      <protection hidden="1"/>
    </xf>
    <xf numFmtId="0" fontId="61" fillId="7" borderId="40" xfId="0" applyFont="1" applyFill="1" applyBorder="1" applyAlignment="1" applyProtection="1">
      <alignment horizontal="center"/>
      <protection hidden="1"/>
    </xf>
    <xf numFmtId="2" fontId="39" fillId="7" borderId="40" xfId="0" applyNumberFormat="1" applyFont="1" applyFill="1" applyBorder="1" applyAlignment="1" applyProtection="1">
      <alignment horizontal="center" vertical="center"/>
      <protection hidden="1"/>
    </xf>
    <xf numFmtId="0" fontId="61" fillId="7" borderId="9" xfId="0" applyFont="1" applyFill="1" applyBorder="1" applyAlignment="1" applyProtection="1">
      <alignment horizontal="center"/>
      <protection hidden="1"/>
    </xf>
    <xf numFmtId="0" fontId="61" fillId="7" borderId="9" xfId="0" applyFont="1" applyFill="1" applyBorder="1" applyAlignment="1" applyProtection="1">
      <alignment horizontal="center" wrapText="1"/>
      <protection hidden="1"/>
    </xf>
    <xf numFmtId="0" fontId="61" fillId="7" borderId="44" xfId="0" applyFont="1" applyFill="1" applyBorder="1" applyAlignment="1" applyProtection="1">
      <alignment horizontal="center"/>
      <protection hidden="1"/>
    </xf>
    <xf numFmtId="167" fontId="39" fillId="7" borderId="44" xfId="0" applyNumberFormat="1" applyFont="1" applyFill="1" applyBorder="1" applyAlignment="1" applyProtection="1">
      <alignment horizontal="center" vertical="center"/>
      <protection hidden="1"/>
    </xf>
    <xf numFmtId="170" fontId="39" fillId="7" borderId="44" xfId="0" applyNumberFormat="1" applyFont="1" applyFill="1" applyBorder="1" applyAlignment="1" applyProtection="1">
      <alignment horizontal="center" vertical="center"/>
      <protection hidden="1"/>
    </xf>
    <xf numFmtId="0" fontId="61" fillId="7" borderId="22" xfId="0" applyFont="1" applyFill="1" applyBorder="1" applyAlignment="1" applyProtection="1">
      <alignment vertical="center"/>
      <protection hidden="1"/>
    </xf>
    <xf numFmtId="0" fontId="39" fillId="7" borderId="22" xfId="0" applyFont="1" applyFill="1" applyBorder="1" applyAlignment="1" applyProtection="1">
      <alignment horizontal="center" vertical="center" wrapText="1"/>
      <protection hidden="1"/>
    </xf>
    <xf numFmtId="0" fontId="39" fillId="7" borderId="22" xfId="0" applyFont="1" applyFill="1" applyBorder="1" applyAlignment="1" applyProtection="1">
      <alignment horizontal="center" vertical="center"/>
      <protection hidden="1"/>
    </xf>
    <xf numFmtId="170" fontId="39" fillId="7" borderId="28" xfId="0" applyNumberFormat="1" applyFont="1" applyFill="1" applyBorder="1" applyAlignment="1" applyProtection="1">
      <alignment horizontal="center" vertical="center"/>
      <protection hidden="1"/>
    </xf>
    <xf numFmtId="14" fontId="39" fillId="7" borderId="41" xfId="0" applyNumberFormat="1" applyFont="1" applyFill="1" applyBorder="1" applyAlignment="1" applyProtection="1">
      <alignment horizontal="center" vertical="center"/>
      <protection hidden="1"/>
    </xf>
    <xf numFmtId="14" fontId="39" fillId="7" borderId="34" xfId="0" applyNumberFormat="1" applyFont="1" applyFill="1" applyBorder="1" applyAlignment="1" applyProtection="1">
      <alignment horizontal="center" vertical="center"/>
      <protection hidden="1"/>
    </xf>
    <xf numFmtId="14" fontId="39" fillId="7" borderId="37" xfId="0" applyNumberFormat="1" applyFont="1" applyFill="1" applyBorder="1" applyAlignment="1" applyProtection="1">
      <alignment horizontal="center" vertical="center"/>
      <protection hidden="1"/>
    </xf>
    <xf numFmtId="0" fontId="16" fillId="7" borderId="44" xfId="0" applyFont="1" applyFill="1" applyBorder="1" applyAlignment="1" applyProtection="1">
      <alignment horizontal="center" vertical="center"/>
      <protection hidden="1"/>
    </xf>
    <xf numFmtId="0" fontId="18" fillId="7" borderId="44" xfId="0" applyFont="1" applyFill="1" applyBorder="1" applyAlignment="1" applyProtection="1">
      <alignment horizontal="center" vertical="center" wrapText="1"/>
      <protection hidden="1"/>
    </xf>
    <xf numFmtId="167" fontId="61" fillId="7" borderId="39" xfId="0" applyNumberFormat="1" applyFont="1" applyFill="1" applyBorder="1" applyAlignment="1" applyProtection="1">
      <alignment horizontal="center" vertical="center"/>
      <protection hidden="1"/>
    </xf>
    <xf numFmtId="0" fontId="61" fillId="7" borderId="40" xfId="0" applyFont="1" applyFill="1" applyBorder="1" applyAlignment="1" applyProtection="1">
      <alignment horizontal="center" vertical="center"/>
      <protection hidden="1"/>
    </xf>
    <xf numFmtId="0" fontId="61" fillId="7" borderId="41" xfId="0" applyFont="1" applyFill="1" applyBorder="1" applyAlignment="1" applyProtection="1">
      <alignment horizontal="center" vertical="center"/>
      <protection hidden="1"/>
    </xf>
    <xf numFmtId="0" fontId="61" fillId="7" borderId="32" xfId="0" applyFont="1" applyFill="1" applyBorder="1" applyAlignment="1" applyProtection="1">
      <alignment horizontal="center" vertical="center"/>
      <protection hidden="1"/>
    </xf>
    <xf numFmtId="0" fontId="61" fillId="7" borderId="34" xfId="0" applyFont="1" applyFill="1" applyBorder="1" applyAlignment="1" applyProtection="1">
      <alignment horizontal="center" vertical="center"/>
      <protection hidden="1"/>
    </xf>
    <xf numFmtId="0" fontId="61" fillId="7" borderId="43" xfId="0" applyFont="1" applyFill="1" applyBorder="1" applyAlignment="1" applyProtection="1">
      <alignment horizontal="center" vertical="center"/>
      <protection hidden="1"/>
    </xf>
    <xf numFmtId="0" fontId="61" fillId="7" borderId="37" xfId="0" applyFont="1" applyFill="1" applyBorder="1" applyAlignment="1" applyProtection="1">
      <alignment horizontal="center" vertical="center"/>
      <protection hidden="1"/>
    </xf>
    <xf numFmtId="0" fontId="39" fillId="7" borderId="34" xfId="0" applyFont="1" applyFill="1" applyBorder="1" applyAlignment="1" applyProtection="1">
      <alignment horizontal="center" vertical="center"/>
      <protection hidden="1"/>
    </xf>
    <xf numFmtId="0" fontId="61" fillId="7" borderId="34" xfId="0" applyFont="1" applyFill="1" applyBorder="1" applyAlignment="1" applyProtection="1">
      <alignment horizontal="center" wrapText="1"/>
      <protection hidden="1"/>
    </xf>
    <xf numFmtId="2" fontId="39" fillId="7" borderId="9" xfId="0" applyNumberFormat="1" applyFont="1" applyFill="1" applyBorder="1" applyAlignment="1" applyProtection="1">
      <alignment horizontal="center" vertical="center"/>
      <protection hidden="1"/>
    </xf>
    <xf numFmtId="0" fontId="39" fillId="7" borderId="37" xfId="0" applyFont="1" applyFill="1" applyBorder="1" applyAlignment="1" applyProtection="1">
      <alignment horizontal="center" vertical="center"/>
      <protection hidden="1"/>
    </xf>
    <xf numFmtId="0" fontId="39" fillId="18" borderId="32" xfId="0" applyFont="1" applyFill="1" applyBorder="1" applyAlignment="1" applyProtection="1">
      <alignment horizontal="center" vertical="center"/>
      <protection hidden="1"/>
    </xf>
    <xf numFmtId="0" fontId="39" fillId="18" borderId="43" xfId="0" applyFont="1" applyFill="1" applyBorder="1" applyAlignment="1" applyProtection="1">
      <alignment horizontal="center" vertical="center"/>
      <protection hidden="1"/>
    </xf>
    <xf numFmtId="166" fontId="39" fillId="7" borderId="34" xfId="0" applyNumberFormat="1" applyFont="1" applyFill="1" applyBorder="1" applyAlignment="1" applyProtection="1">
      <alignment horizontal="center" vertical="center"/>
      <protection hidden="1"/>
    </xf>
    <xf numFmtId="2" fontId="39" fillId="7" borderId="37" xfId="0" applyNumberFormat="1" applyFont="1" applyFill="1" applyBorder="1" applyAlignment="1" applyProtection="1">
      <alignment horizontal="center" vertical="center"/>
      <protection hidden="1"/>
    </xf>
    <xf numFmtId="0" fontId="39" fillId="7" borderId="30" xfId="0" applyFont="1" applyFill="1" applyBorder="1" applyAlignment="1" applyProtection="1">
      <alignment horizontal="center" vertical="center" wrapText="1"/>
      <protection hidden="1"/>
    </xf>
    <xf numFmtId="0" fontId="39" fillId="7" borderId="34" xfId="0" applyFont="1" applyFill="1" applyBorder="1" applyAlignment="1" applyProtection="1">
      <alignment horizontal="center" vertical="center" wrapText="1"/>
      <protection hidden="1"/>
    </xf>
    <xf numFmtId="0" fontId="39" fillId="18" borderId="39" xfId="0" applyFont="1" applyFill="1" applyBorder="1" applyAlignment="1" applyProtection="1">
      <alignment horizontal="center" vertical="center"/>
      <protection hidden="1"/>
    </xf>
    <xf numFmtId="0" fontId="39" fillId="18" borderId="40" xfId="0" applyFont="1" applyFill="1" applyBorder="1" applyAlignment="1" applyProtection="1">
      <alignment horizontal="center" vertical="center" wrapText="1"/>
      <protection hidden="1"/>
    </xf>
    <xf numFmtId="0" fontId="39" fillId="18" borderId="40" xfId="0" applyFont="1" applyFill="1" applyBorder="1" applyAlignment="1" applyProtection="1">
      <alignment horizontal="center" vertical="center"/>
      <protection hidden="1"/>
    </xf>
    <xf numFmtId="0" fontId="39" fillId="18" borderId="41" xfId="0" applyFont="1" applyFill="1" applyBorder="1" applyAlignment="1" applyProtection="1">
      <alignment horizontal="center" vertical="center"/>
      <protection hidden="1"/>
    </xf>
    <xf numFmtId="0" fontId="18" fillId="5" borderId="1" xfId="0" applyFont="1" applyFill="1" applyBorder="1" applyAlignment="1" applyProtection="1">
      <alignment horizontal="center" vertical="center" wrapText="1"/>
      <protection hidden="1"/>
    </xf>
    <xf numFmtId="0" fontId="18" fillId="5" borderId="8" xfId="0" applyFont="1" applyFill="1" applyBorder="1" applyAlignment="1" applyProtection="1">
      <alignment horizontal="center" vertical="center"/>
      <protection hidden="1"/>
    </xf>
    <xf numFmtId="0" fontId="61" fillId="31" borderId="1" xfId="0" applyFont="1" applyFill="1" applyBorder="1" applyAlignment="1" applyProtection="1">
      <alignment horizontal="center" vertical="center"/>
      <protection hidden="1"/>
    </xf>
    <xf numFmtId="0" fontId="7" fillId="33" borderId="37" xfId="0" applyFont="1" applyFill="1" applyBorder="1" applyAlignment="1" applyProtection="1">
      <alignment horizontal="center" vertical="center" wrapText="1"/>
      <protection hidden="1"/>
    </xf>
    <xf numFmtId="170" fontId="39" fillId="33" borderId="9" xfId="0" applyNumberFormat="1" applyFont="1" applyFill="1" applyBorder="1" applyAlignment="1" applyProtection="1">
      <alignment horizontal="center" vertical="center"/>
      <protection locked="0" hidden="1"/>
    </xf>
    <xf numFmtId="0" fontId="39" fillId="33" borderId="9" xfId="0" applyFont="1" applyFill="1" applyBorder="1" applyAlignment="1" applyProtection="1">
      <alignment horizontal="center" vertical="center"/>
      <protection locked="0" hidden="1"/>
    </xf>
    <xf numFmtId="0" fontId="39" fillId="33" borderId="9" xfId="0" applyFont="1" applyFill="1" applyBorder="1" applyAlignment="1" applyProtection="1">
      <alignment horizontal="center" vertical="center" wrapText="1"/>
      <protection locked="0" hidden="1"/>
    </xf>
    <xf numFmtId="0" fontId="39" fillId="33" borderId="34" xfId="0" applyFont="1" applyFill="1" applyBorder="1" applyAlignment="1" applyProtection="1">
      <alignment horizontal="center" vertical="center"/>
      <protection locked="0" hidden="1"/>
    </xf>
    <xf numFmtId="0" fontId="20" fillId="33" borderId="9" xfId="0" applyFont="1" applyFill="1" applyBorder="1" applyAlignment="1" applyProtection="1">
      <alignment horizontal="center" vertical="center" wrapText="1"/>
      <protection locked="0" hidden="1"/>
    </xf>
    <xf numFmtId="49" fontId="20" fillId="33" borderId="9" xfId="0" applyNumberFormat="1" applyFont="1" applyFill="1" applyBorder="1" applyAlignment="1" applyProtection="1">
      <alignment horizontal="center" vertical="center" wrapText="1"/>
      <protection locked="0" hidden="1"/>
    </xf>
    <xf numFmtId="0" fontId="39" fillId="33" borderId="68" xfId="0" applyFont="1" applyFill="1" applyBorder="1" applyAlignment="1" applyProtection="1">
      <alignment horizontal="center" vertical="center"/>
      <protection locked="0" hidden="1"/>
    </xf>
    <xf numFmtId="0" fontId="39" fillId="33" borderId="66" xfId="0" applyFont="1" applyFill="1" applyBorder="1" applyAlignment="1" applyProtection="1">
      <alignment horizontal="center" vertical="center"/>
      <protection locked="0" hidden="1"/>
    </xf>
    <xf numFmtId="0" fontId="39" fillId="33" borderId="69" xfId="0" applyFont="1" applyFill="1" applyBorder="1" applyAlignment="1" applyProtection="1">
      <alignment horizontal="center" vertical="center"/>
      <protection locked="0" hidden="1"/>
    </xf>
    <xf numFmtId="14" fontId="39" fillId="7" borderId="41" xfId="0" applyNumberFormat="1" applyFont="1" applyFill="1" applyBorder="1" applyAlignment="1" applyProtection="1">
      <alignment horizontal="center" vertical="center" wrapText="1"/>
      <protection hidden="1"/>
    </xf>
    <xf numFmtId="14" fontId="39" fillId="7" borderId="1" xfId="0" applyNumberFormat="1" applyFont="1" applyFill="1" applyBorder="1" applyAlignment="1" applyProtection="1">
      <alignment vertical="center" wrapText="1"/>
      <protection hidden="1"/>
    </xf>
    <xf numFmtId="167" fontId="39" fillId="7" borderId="40" xfId="0" applyNumberFormat="1" applyFont="1" applyFill="1" applyBorder="1" applyAlignment="1" applyProtection="1">
      <alignment horizontal="center" vertical="center" wrapText="1"/>
      <protection hidden="1"/>
    </xf>
    <xf numFmtId="166" fontId="18" fillId="7" borderId="44" xfId="0" applyNumberFormat="1" applyFont="1" applyFill="1" applyBorder="1" applyAlignment="1" applyProtection="1">
      <alignment horizontal="center" vertical="center" wrapText="1"/>
      <protection hidden="1"/>
    </xf>
    <xf numFmtId="170" fontId="18" fillId="7" borderId="44" xfId="0" applyNumberFormat="1" applyFont="1" applyFill="1" applyBorder="1" applyAlignment="1" applyProtection="1">
      <alignment horizontal="center" vertical="center" wrapText="1"/>
      <protection hidden="1"/>
    </xf>
    <xf numFmtId="14" fontId="18" fillId="7" borderId="37" xfId="0" applyNumberFormat="1" applyFont="1" applyFill="1" applyBorder="1" applyAlignment="1" applyProtection="1">
      <alignment horizontal="center" vertical="center" wrapText="1"/>
      <protection hidden="1"/>
    </xf>
    <xf numFmtId="0" fontId="15" fillId="17" borderId="19" xfId="0" applyFont="1" applyFill="1" applyBorder="1" applyAlignment="1" applyProtection="1">
      <alignment horizontal="center" vertical="center" wrapText="1"/>
      <protection hidden="1"/>
    </xf>
    <xf numFmtId="0" fontId="15" fillId="17" borderId="22" xfId="0" applyFont="1" applyFill="1" applyBorder="1" applyAlignment="1" applyProtection="1">
      <alignment horizontal="center" vertical="center"/>
      <protection hidden="1"/>
    </xf>
    <xf numFmtId="0" fontId="15" fillId="17" borderId="22" xfId="0" applyFont="1" applyFill="1" applyBorder="1" applyAlignment="1" applyProtection="1">
      <alignment horizontal="center" vertical="center" wrapText="1"/>
      <protection hidden="1"/>
    </xf>
    <xf numFmtId="0" fontId="15" fillId="17" borderId="20" xfId="0" applyFont="1" applyFill="1" applyBorder="1" applyAlignment="1" applyProtection="1">
      <alignment horizontal="center" vertical="center" wrapText="1"/>
      <protection hidden="1"/>
    </xf>
    <xf numFmtId="166" fontId="71" fillId="20" borderId="34" xfId="0" applyNumberFormat="1" applyFont="1" applyFill="1" applyBorder="1" applyAlignment="1" applyProtection="1">
      <alignment horizontal="center" vertical="center"/>
      <protection hidden="1"/>
    </xf>
    <xf numFmtId="166" fontId="71" fillId="20" borderId="37" xfId="0" applyNumberFormat="1" applyFont="1" applyFill="1" applyBorder="1" applyAlignment="1" applyProtection="1">
      <alignment horizontal="center" vertical="center"/>
      <protection hidden="1"/>
    </xf>
    <xf numFmtId="0" fontId="59" fillId="7" borderId="19" xfId="0" applyFont="1" applyFill="1" applyBorder="1" applyAlignment="1" applyProtection="1">
      <alignment horizontal="center" vertical="center" wrapText="1"/>
      <protection hidden="1"/>
    </xf>
    <xf numFmtId="0" fontId="59" fillId="7" borderId="20" xfId="0" applyFont="1" applyFill="1" applyBorder="1" applyAlignment="1" applyProtection="1">
      <alignment horizontal="center" vertical="center" wrapText="1"/>
      <protection hidden="1"/>
    </xf>
    <xf numFmtId="0" fontId="25" fillId="33" borderId="30" xfId="0" applyFont="1" applyFill="1" applyBorder="1" applyAlignment="1" applyProtection="1">
      <alignment horizontal="center" vertical="center" wrapText="1"/>
      <protection hidden="1"/>
    </xf>
    <xf numFmtId="0" fontId="25" fillId="33" borderId="36" xfId="0" applyFont="1" applyFill="1" applyBorder="1" applyAlignment="1" applyProtection="1">
      <alignment horizontal="center" vertical="center" wrapText="1"/>
      <protection hidden="1"/>
    </xf>
    <xf numFmtId="0" fontId="7" fillId="33" borderId="43" xfId="0" applyFont="1" applyFill="1" applyBorder="1" applyAlignment="1" applyProtection="1">
      <alignment horizontal="center" vertical="center" wrapText="1"/>
      <protection hidden="1"/>
    </xf>
    <xf numFmtId="166" fontId="71" fillId="20" borderId="36" xfId="0" applyNumberFormat="1" applyFont="1" applyFill="1" applyBorder="1" applyAlignment="1" applyProtection="1">
      <alignment horizontal="center" vertical="center"/>
      <protection hidden="1"/>
    </xf>
    <xf numFmtId="0" fontId="20" fillId="12" borderId="9" xfId="0" applyFont="1" applyFill="1" applyBorder="1" applyAlignment="1" applyProtection="1">
      <alignment horizontal="center" vertical="center" wrapText="1"/>
      <protection hidden="1"/>
    </xf>
    <xf numFmtId="14" fontId="20" fillId="12" borderId="9" xfId="0" applyNumberFormat="1" applyFont="1" applyFill="1" applyBorder="1" applyAlignment="1" applyProtection="1">
      <alignment horizontal="center" vertical="center" wrapText="1"/>
      <protection hidden="1"/>
    </xf>
    <xf numFmtId="0" fontId="1" fillId="5" borderId="18" xfId="0" applyFont="1" applyFill="1" applyBorder="1" applyAlignment="1" applyProtection="1">
      <alignment horizontal="center" vertical="center" wrapText="1"/>
      <protection hidden="1"/>
    </xf>
    <xf numFmtId="0" fontId="7" fillId="16" borderId="40" xfId="0" applyFont="1" applyFill="1" applyBorder="1" applyAlignment="1" applyProtection="1">
      <alignment horizontal="center" vertical="center" wrapText="1"/>
      <protection hidden="1"/>
    </xf>
    <xf numFmtId="0" fontId="37" fillId="2" borderId="11" xfId="0" applyFont="1" applyFill="1" applyBorder="1" applyAlignment="1" applyProtection="1">
      <alignment horizontal="center" vertical="center" wrapText="1"/>
      <protection hidden="1"/>
    </xf>
    <xf numFmtId="0" fontId="37" fillId="2" borderId="23" xfId="0" applyFont="1" applyFill="1" applyBorder="1" applyAlignment="1" applyProtection="1">
      <alignment horizontal="center" vertical="center" wrapText="1"/>
      <protection hidden="1"/>
    </xf>
    <xf numFmtId="0" fontId="37" fillId="2" borderId="33" xfId="0" applyFont="1" applyFill="1" applyBorder="1" applyAlignment="1" applyProtection="1">
      <alignment horizontal="center" vertical="center" wrapText="1"/>
      <protection hidden="1"/>
    </xf>
    <xf numFmtId="170" fontId="39" fillId="7" borderId="41" xfId="0" applyNumberFormat="1" applyFont="1" applyFill="1" applyBorder="1" applyAlignment="1" applyProtection="1">
      <alignment horizontal="center" vertical="center"/>
      <protection hidden="1"/>
    </xf>
    <xf numFmtId="170" fontId="39" fillId="7" borderId="34" xfId="0" applyNumberFormat="1" applyFont="1" applyFill="1" applyBorder="1" applyAlignment="1" applyProtection="1">
      <alignment horizontal="center" vertical="center"/>
      <protection hidden="1"/>
    </xf>
    <xf numFmtId="170" fontId="39" fillId="7" borderId="37" xfId="0" applyNumberFormat="1" applyFont="1" applyFill="1" applyBorder="1" applyAlignment="1" applyProtection="1">
      <alignment horizontal="center" vertical="center"/>
      <protection hidden="1"/>
    </xf>
    <xf numFmtId="166" fontId="2" fillId="7" borderId="18" xfId="0" applyNumberFormat="1" applyFont="1" applyFill="1" applyBorder="1" applyAlignment="1" applyProtection="1">
      <alignment horizontal="center" vertical="center" wrapText="1"/>
      <protection hidden="1"/>
    </xf>
    <xf numFmtId="166" fontId="60" fillId="7" borderId="27" xfId="0" applyNumberFormat="1" applyFont="1" applyFill="1" applyBorder="1" applyAlignment="1" applyProtection="1">
      <alignment horizontal="center" vertical="center" wrapText="1"/>
      <protection hidden="1"/>
    </xf>
    <xf numFmtId="166" fontId="2" fillId="7" borderId="11" xfId="0" applyNumberFormat="1" applyFont="1" applyFill="1" applyBorder="1" applyAlignment="1" applyProtection="1">
      <alignment horizontal="center" vertical="center"/>
      <protection hidden="1"/>
    </xf>
    <xf numFmtId="166" fontId="2" fillId="7" borderId="44" xfId="0" applyNumberFormat="1" applyFont="1" applyFill="1" applyBorder="1" applyAlignment="1" applyProtection="1">
      <alignment horizontal="center" vertical="center" wrapText="1"/>
      <protection hidden="1"/>
    </xf>
    <xf numFmtId="166" fontId="2" fillId="7" borderId="37" xfId="0" applyNumberFormat="1" applyFont="1" applyFill="1" applyBorder="1" applyAlignment="1" applyProtection="1">
      <alignment horizontal="center" vertical="center"/>
      <protection hidden="1"/>
    </xf>
    <xf numFmtId="2" fontId="20" fillId="7" borderId="44" xfId="0" applyNumberFormat="1" applyFont="1" applyFill="1" applyBorder="1" applyAlignment="1" applyProtection="1">
      <alignment horizontal="center" vertical="center" wrapText="1"/>
      <protection hidden="1"/>
    </xf>
    <xf numFmtId="2" fontId="20" fillId="7" borderId="37" xfId="0" applyNumberFormat="1" applyFont="1" applyFill="1" applyBorder="1" applyAlignment="1" applyProtection="1">
      <alignment horizontal="center" vertical="center" wrapText="1"/>
      <protection hidden="1"/>
    </xf>
    <xf numFmtId="164" fontId="39" fillId="7" borderId="40" xfId="0" applyNumberFormat="1" applyFont="1" applyFill="1" applyBorder="1" applyAlignment="1" applyProtection="1">
      <alignment horizontal="center" vertical="center" wrapText="1"/>
      <protection hidden="1"/>
    </xf>
    <xf numFmtId="0" fontId="4" fillId="16" borderId="6" xfId="0" applyFont="1" applyFill="1" applyBorder="1" applyAlignment="1" applyProtection="1">
      <alignment horizontal="center" vertical="center" wrapText="1"/>
      <protection hidden="1"/>
    </xf>
    <xf numFmtId="167" fontId="2" fillId="19" borderId="9" xfId="0" applyNumberFormat="1" applyFont="1" applyFill="1" applyBorder="1" applyAlignment="1" applyProtection="1">
      <alignment horizontal="center" vertical="center" wrapText="1"/>
      <protection hidden="1"/>
    </xf>
    <xf numFmtId="167" fontId="67" fillId="19" borderId="34" xfId="0" applyNumberFormat="1" applyFont="1" applyFill="1" applyBorder="1" applyAlignment="1" applyProtection="1">
      <alignment horizontal="center" vertical="center" wrapText="1"/>
      <protection hidden="1"/>
    </xf>
    <xf numFmtId="165" fontId="5" fillId="7" borderId="9" xfId="0" applyNumberFormat="1" applyFont="1" applyFill="1" applyBorder="1" applyAlignment="1" applyProtection="1">
      <alignment horizontal="center" vertical="center" wrapText="1"/>
      <protection hidden="1"/>
    </xf>
    <xf numFmtId="169" fontId="5" fillId="7" borderId="34" xfId="0" applyNumberFormat="1" applyFont="1" applyFill="1" applyBorder="1" applyAlignment="1" applyProtection="1">
      <alignment horizontal="center" vertical="center" wrapText="1"/>
      <protection hidden="1"/>
    </xf>
    <xf numFmtId="167" fontId="5" fillId="7" borderId="48" xfId="0" applyNumberFormat="1" applyFont="1" applyFill="1" applyBorder="1" applyAlignment="1" applyProtection="1">
      <alignment horizontal="center" vertical="center" wrapText="1"/>
      <protection hidden="1"/>
    </xf>
    <xf numFmtId="165" fontId="5" fillId="7" borderId="14" xfId="0" applyNumberFormat="1" applyFont="1" applyFill="1" applyBorder="1" applyAlignment="1" applyProtection="1">
      <alignment horizontal="center" vertical="center" wrapText="1"/>
      <protection hidden="1"/>
    </xf>
    <xf numFmtId="167" fontId="5" fillId="7" borderId="59" xfId="0" applyNumberFormat="1" applyFont="1" applyFill="1" applyBorder="1" applyAlignment="1" applyProtection="1">
      <alignment horizontal="center" vertical="center" wrapText="1"/>
      <protection hidden="1"/>
    </xf>
    <xf numFmtId="165" fontId="5" fillId="7" borderId="23" xfId="0" applyNumberFormat="1" applyFont="1" applyFill="1" applyBorder="1" applyAlignment="1" applyProtection="1">
      <alignment horizontal="center" vertical="center" wrapText="1"/>
      <protection hidden="1"/>
    </xf>
    <xf numFmtId="164" fontId="5" fillId="7" borderId="37" xfId="0" applyNumberFormat="1" applyFont="1" applyFill="1" applyBorder="1" applyAlignment="1" applyProtection="1">
      <alignment horizontal="center" vertical="center" wrapText="1"/>
      <protection hidden="1"/>
    </xf>
    <xf numFmtId="164" fontId="5" fillId="7" borderId="57" xfId="0" applyNumberFormat="1" applyFont="1" applyFill="1" applyBorder="1" applyAlignment="1" applyProtection="1">
      <alignment horizontal="center" vertical="center" wrapText="1"/>
      <protection hidden="1"/>
    </xf>
    <xf numFmtId="164" fontId="5" fillId="7" borderId="62" xfId="0" applyNumberFormat="1" applyFont="1" applyFill="1" applyBorder="1" applyAlignment="1" applyProtection="1">
      <alignment horizontal="center" vertical="center" wrapText="1"/>
      <protection hidden="1"/>
    </xf>
    <xf numFmtId="0" fontId="61" fillId="7" borderId="42" xfId="0" applyFont="1" applyFill="1" applyBorder="1" applyAlignment="1" applyProtection="1">
      <alignment horizontal="center" vertical="center"/>
      <protection hidden="1"/>
    </xf>
    <xf numFmtId="0" fontId="61" fillId="7" borderId="12" xfId="0" applyFont="1" applyFill="1" applyBorder="1" applyAlignment="1" applyProtection="1">
      <alignment horizontal="center" vertical="center"/>
      <protection hidden="1"/>
    </xf>
    <xf numFmtId="0" fontId="61" fillId="7" borderId="60" xfId="0" applyFont="1" applyFill="1" applyBorder="1" applyAlignment="1" applyProtection="1">
      <alignment horizontal="center" vertical="center"/>
      <protection hidden="1"/>
    </xf>
    <xf numFmtId="0" fontId="18" fillId="18" borderId="19" xfId="0" applyFont="1" applyFill="1" applyBorder="1" applyAlignment="1" applyProtection="1">
      <alignment horizontal="center" vertical="center"/>
      <protection hidden="1"/>
    </xf>
    <xf numFmtId="0" fontId="18" fillId="18" borderId="22" xfId="0" applyFont="1" applyFill="1" applyBorder="1" applyAlignment="1" applyProtection="1">
      <alignment horizontal="center" vertical="center"/>
      <protection hidden="1"/>
    </xf>
    <xf numFmtId="0" fontId="39" fillId="2" borderId="15" xfId="0" applyFont="1" applyFill="1" applyBorder="1" applyAlignment="1" applyProtection="1">
      <protection hidden="1"/>
    </xf>
    <xf numFmtId="0" fontId="39" fillId="2" borderId="15" xfId="0" applyFont="1" applyFill="1" applyBorder="1" applyAlignment="1" applyProtection="1">
      <alignment vertical="center"/>
      <protection hidden="1"/>
    </xf>
    <xf numFmtId="0" fontId="61" fillId="0" borderId="65" xfId="0" applyFont="1" applyBorder="1" applyAlignment="1" applyProtection="1">
      <alignment horizontal="center" vertical="center"/>
      <protection hidden="1"/>
    </xf>
    <xf numFmtId="0" fontId="39" fillId="2" borderId="45" xfId="0" applyFont="1" applyFill="1" applyBorder="1" applyAlignment="1" applyProtection="1">
      <alignment horizontal="center" vertical="center"/>
      <protection hidden="1"/>
    </xf>
    <xf numFmtId="2" fontId="39" fillId="2" borderId="53" xfId="0" applyNumberFormat="1" applyFont="1" applyFill="1" applyBorder="1" applyAlignment="1" applyProtection="1">
      <alignment vertical="center"/>
      <protection hidden="1"/>
    </xf>
    <xf numFmtId="0" fontId="39" fillId="2" borderId="53" xfId="0" applyFont="1" applyFill="1" applyBorder="1" applyAlignment="1" applyProtection="1">
      <alignment vertical="center"/>
      <protection hidden="1"/>
    </xf>
    <xf numFmtId="0" fontId="61" fillId="0" borderId="78" xfId="0" applyFont="1" applyBorder="1" applyAlignment="1" applyProtection="1">
      <alignment horizontal="center" vertical="center"/>
      <protection hidden="1"/>
    </xf>
    <xf numFmtId="0" fontId="39" fillId="7" borderId="19" xfId="0" applyFont="1" applyFill="1" applyBorder="1" applyAlignment="1" applyProtection="1">
      <alignment horizontal="center" vertical="center"/>
      <protection hidden="1"/>
    </xf>
    <xf numFmtId="167" fontId="39" fillId="7" borderId="22" xfId="0" applyNumberFormat="1" applyFont="1" applyFill="1" applyBorder="1" applyAlignment="1" applyProtection="1">
      <alignment horizontal="center" vertical="center"/>
      <protection hidden="1"/>
    </xf>
    <xf numFmtId="0" fontId="61" fillId="7" borderId="20" xfId="0" applyFont="1" applyFill="1" applyBorder="1" applyAlignment="1" applyProtection="1">
      <alignment horizontal="center" vertical="center"/>
      <protection hidden="1"/>
    </xf>
    <xf numFmtId="0" fontId="61" fillId="18" borderId="20" xfId="0" applyFont="1" applyFill="1" applyBorder="1" applyAlignment="1" applyProtection="1">
      <alignment horizontal="center" vertical="center"/>
      <protection hidden="1"/>
    </xf>
    <xf numFmtId="2" fontId="20" fillId="7" borderId="42" xfId="0" applyNumberFormat="1" applyFont="1" applyFill="1" applyBorder="1" applyAlignment="1" applyProtection="1">
      <alignment horizontal="center" vertical="center" wrapText="1"/>
      <protection hidden="1"/>
    </xf>
    <xf numFmtId="2" fontId="3" fillId="7" borderId="60" xfId="0" applyNumberFormat="1" applyFont="1" applyFill="1" applyBorder="1" applyAlignment="1" applyProtection="1">
      <alignment horizontal="center" vertical="center"/>
      <protection hidden="1"/>
    </xf>
    <xf numFmtId="0" fontId="37" fillId="0" borderId="0" xfId="0" applyFont="1" applyAlignment="1" applyProtection="1">
      <alignment horizontal="center" vertical="center" wrapText="1"/>
      <protection hidden="1"/>
    </xf>
    <xf numFmtId="0" fontId="39" fillId="0" borderId="9"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vertical="center"/>
      <protection hidden="1"/>
    </xf>
    <xf numFmtId="0" fontId="1" fillId="5" borderId="19"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3" fillId="5" borderId="23" xfId="0" applyFont="1" applyFill="1" applyBorder="1" applyAlignment="1" applyProtection="1">
      <alignment horizontal="left" vertical="center" wrapText="1"/>
      <protection hidden="1"/>
    </xf>
    <xf numFmtId="0" fontId="39" fillId="2" borderId="0"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18" fillId="16" borderId="41" xfId="0" applyFont="1" applyFill="1" applyBorder="1" applyAlignment="1" applyProtection="1">
      <alignment horizontal="center" vertical="center" wrapText="1"/>
      <protection hidden="1"/>
    </xf>
    <xf numFmtId="0" fontId="15" fillId="25" borderId="1" xfId="0" applyFont="1" applyFill="1" applyBorder="1" applyAlignment="1" applyProtection="1">
      <alignment horizontal="center" vertical="center" wrapText="1"/>
      <protection hidden="1"/>
    </xf>
    <xf numFmtId="0" fontId="20" fillId="0" borderId="0" xfId="0" applyFont="1" applyAlignment="1" applyProtection="1">
      <alignment vertical="center" wrapText="1"/>
      <protection locked="0" hidden="1"/>
    </xf>
    <xf numFmtId="0" fontId="20" fillId="2" borderId="49" xfId="0" applyFont="1" applyFill="1" applyBorder="1" applyAlignment="1" applyProtection="1">
      <alignment horizontal="center" vertical="center" wrapText="1"/>
      <protection locked="0" hidden="1"/>
    </xf>
    <xf numFmtId="0" fontId="2" fillId="2" borderId="0" xfId="0" applyFont="1" applyFill="1" applyBorder="1" applyAlignment="1" applyProtection="1">
      <alignment vertical="center" wrapText="1"/>
      <protection locked="0" hidden="1"/>
    </xf>
    <xf numFmtId="14" fontId="20" fillId="19" borderId="22" xfId="0" applyNumberFormat="1" applyFont="1" applyFill="1" applyBorder="1" applyAlignment="1" applyProtection="1">
      <alignment horizontal="center" vertical="center" wrapText="1"/>
      <protection hidden="1"/>
    </xf>
    <xf numFmtId="170" fontId="20" fillId="19" borderId="22" xfId="0" applyNumberFormat="1" applyFont="1" applyFill="1" applyBorder="1" applyAlignment="1" applyProtection="1">
      <alignment horizontal="centerContinuous" vertical="center" wrapText="1"/>
      <protection hidden="1"/>
    </xf>
    <xf numFmtId="1" fontId="20" fillId="6" borderId="28" xfId="0" applyNumberFormat="1" applyFont="1" applyFill="1" applyBorder="1" applyAlignment="1" applyProtection="1">
      <alignment horizontal="center" vertical="center" wrapText="1"/>
      <protection locked="0" hidden="1"/>
    </xf>
    <xf numFmtId="0" fontId="1" fillId="0" borderId="0" xfId="0" applyFont="1" applyAlignment="1" applyProtection="1">
      <alignment horizontal="center" vertical="center" wrapText="1"/>
      <protection hidden="1"/>
    </xf>
    <xf numFmtId="2" fontId="20" fillId="7" borderId="12" xfId="0" applyNumberFormat="1" applyFont="1" applyFill="1" applyBorder="1" applyAlignment="1" applyProtection="1">
      <alignment horizontal="center" vertical="center" wrapText="1"/>
      <protection hidden="1"/>
    </xf>
    <xf numFmtId="0" fontId="39" fillId="14" borderId="39" xfId="0" applyFont="1" applyFill="1" applyBorder="1" applyAlignment="1" applyProtection="1">
      <alignment horizontal="center" vertical="center"/>
      <protection hidden="1"/>
    </xf>
    <xf numFmtId="0" fontId="39" fillId="14" borderId="40" xfId="0" applyFont="1" applyFill="1" applyBorder="1" applyAlignment="1" applyProtection="1">
      <alignment horizontal="center" vertical="center"/>
      <protection hidden="1"/>
    </xf>
    <xf numFmtId="167" fontId="39" fillId="14" borderId="40" xfId="0" applyNumberFormat="1" applyFont="1" applyFill="1" applyBorder="1" applyAlignment="1" applyProtection="1">
      <alignment horizontal="center" vertical="center"/>
      <protection hidden="1"/>
    </xf>
    <xf numFmtId="0" fontId="39" fillId="14" borderId="73" xfId="0" applyFont="1" applyFill="1" applyBorder="1" applyAlignment="1" applyProtection="1">
      <alignment horizontal="center" vertical="center"/>
      <protection hidden="1"/>
    </xf>
    <xf numFmtId="0" fontId="39" fillId="14" borderId="32"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167" fontId="39" fillId="14" borderId="18" xfId="0" applyNumberFormat="1" applyFont="1" applyFill="1" applyBorder="1" applyAlignment="1" applyProtection="1">
      <alignment horizontal="center" vertical="center"/>
      <protection hidden="1"/>
    </xf>
    <xf numFmtId="0" fontId="39" fillId="14" borderId="34" xfId="0" applyFont="1" applyFill="1" applyBorder="1" applyAlignment="1" applyProtection="1">
      <alignment horizontal="center" vertical="center"/>
      <protection hidden="1"/>
    </xf>
    <xf numFmtId="167" fontId="39" fillId="14" borderId="43" xfId="0" applyNumberFormat="1" applyFont="1" applyFill="1" applyBorder="1" applyAlignment="1" applyProtection="1">
      <alignment horizontal="center" vertical="center"/>
      <protection hidden="1"/>
    </xf>
    <xf numFmtId="0" fontId="39" fillId="14" borderId="53" xfId="0" applyFont="1" applyFill="1" applyBorder="1" applyAlignment="1" applyProtection="1">
      <alignment horizontal="center" vertical="center"/>
      <protection hidden="1"/>
    </xf>
    <xf numFmtId="167" fontId="39" fillId="14" borderId="53" xfId="0" applyNumberFormat="1" applyFont="1" applyFill="1" applyBorder="1" applyAlignment="1" applyProtection="1">
      <alignment horizontal="center" vertical="center"/>
      <protection hidden="1"/>
    </xf>
    <xf numFmtId="0" fontId="39" fillId="14" borderId="37" xfId="0" applyFont="1" applyFill="1" applyBorder="1" applyAlignment="1" applyProtection="1">
      <alignment horizontal="center" vertical="center"/>
      <protection hidden="1"/>
    </xf>
    <xf numFmtId="0" fontId="39" fillId="14" borderId="41" xfId="0" applyFont="1" applyFill="1" applyBorder="1" applyAlignment="1" applyProtection="1">
      <alignment horizontal="center" vertical="center"/>
      <protection hidden="1"/>
    </xf>
    <xf numFmtId="167" fontId="39" fillId="14" borderId="32" xfId="0" applyNumberFormat="1" applyFont="1" applyFill="1" applyBorder="1" applyAlignment="1" applyProtection="1">
      <alignment horizontal="center" vertical="center"/>
      <protection hidden="1"/>
    </xf>
    <xf numFmtId="167" fontId="39" fillId="14" borderId="9" xfId="0" applyNumberFormat="1" applyFont="1" applyFill="1" applyBorder="1" applyAlignment="1" applyProtection="1">
      <alignment horizontal="center" vertical="center"/>
      <protection hidden="1"/>
    </xf>
    <xf numFmtId="0" fontId="39" fillId="14" borderId="43" xfId="0" applyFont="1" applyFill="1" applyBorder="1" applyAlignment="1" applyProtection="1">
      <alignment horizontal="center" vertical="center"/>
      <protection hidden="1"/>
    </xf>
    <xf numFmtId="0" fontId="39" fillId="14" borderId="44" xfId="0" applyFont="1" applyFill="1" applyBorder="1" applyAlignment="1" applyProtection="1">
      <alignment horizontal="center" vertical="center"/>
      <protection hidden="1"/>
    </xf>
    <xf numFmtId="166" fontId="39" fillId="14" borderId="40" xfId="0" applyNumberFormat="1" applyFont="1" applyFill="1" applyBorder="1" applyAlignment="1" applyProtection="1">
      <alignment horizontal="center" vertical="center"/>
      <protection hidden="1"/>
    </xf>
    <xf numFmtId="0" fontId="39" fillId="14" borderId="9" xfId="0" applyFont="1" applyFill="1" applyBorder="1" applyAlignment="1" applyProtection="1">
      <alignment horizontal="center" vertical="center"/>
      <protection hidden="1"/>
    </xf>
    <xf numFmtId="166" fontId="39" fillId="14" borderId="9" xfId="0" applyNumberFormat="1" applyFont="1" applyFill="1" applyBorder="1" applyAlignment="1" applyProtection="1">
      <alignment horizontal="center" vertical="center"/>
      <protection hidden="1"/>
    </xf>
    <xf numFmtId="2" fontId="39" fillId="14" borderId="44" xfId="0" applyNumberFormat="1" applyFont="1" applyFill="1" applyBorder="1" applyAlignment="1" applyProtection="1">
      <alignment horizontal="center" vertical="center"/>
      <protection hidden="1"/>
    </xf>
    <xf numFmtId="167" fontId="39" fillId="14" borderId="39" xfId="0" applyNumberFormat="1" applyFont="1" applyFill="1" applyBorder="1" applyAlignment="1" applyProtection="1">
      <alignment horizontal="center" vertical="center"/>
      <protection hidden="1"/>
    </xf>
    <xf numFmtId="0" fontId="39" fillId="14" borderId="31" xfId="0" applyFont="1" applyFill="1" applyBorder="1" applyAlignment="1" applyProtection="1">
      <alignment horizontal="center" vertical="center"/>
      <protection hidden="1"/>
    </xf>
    <xf numFmtId="0" fontId="39" fillId="14" borderId="11" xfId="0" applyFont="1" applyFill="1" applyBorder="1" applyAlignment="1" applyProtection="1">
      <alignment horizontal="center" vertical="center"/>
      <protection hidden="1"/>
    </xf>
    <xf numFmtId="0" fontId="39" fillId="14" borderId="55" xfId="0" applyFont="1" applyFill="1" applyBorder="1" applyAlignment="1" applyProtection="1">
      <alignment horizontal="center" vertical="center"/>
      <protection hidden="1"/>
    </xf>
    <xf numFmtId="179" fontId="39" fillId="14" borderId="40" xfId="0" applyNumberFormat="1" applyFont="1" applyFill="1" applyBorder="1" applyAlignment="1" applyProtection="1">
      <alignment horizontal="center" vertical="center" wrapText="1"/>
      <protection hidden="1"/>
    </xf>
    <xf numFmtId="179" fontId="39" fillId="14" borderId="31" xfId="0" applyNumberFormat="1" applyFont="1" applyFill="1" applyBorder="1" applyAlignment="1" applyProtection="1">
      <alignment horizontal="center" vertical="center" wrapText="1"/>
      <protection hidden="1"/>
    </xf>
    <xf numFmtId="179" fontId="39" fillId="14" borderId="9" xfId="0" applyNumberFormat="1" applyFont="1" applyFill="1" applyBorder="1" applyAlignment="1" applyProtection="1">
      <alignment horizontal="center" vertical="center" wrapText="1"/>
      <protection hidden="1"/>
    </xf>
    <xf numFmtId="179" fontId="39" fillId="14" borderId="11" xfId="0" applyNumberFormat="1" applyFont="1" applyFill="1" applyBorder="1" applyAlignment="1" applyProtection="1">
      <alignment horizontal="center" vertical="center" wrapText="1"/>
      <protection hidden="1"/>
    </xf>
    <xf numFmtId="179" fontId="39" fillId="14" borderId="44" xfId="0" applyNumberFormat="1" applyFont="1" applyFill="1" applyBorder="1" applyAlignment="1" applyProtection="1">
      <alignment horizontal="center" vertical="center" wrapText="1"/>
      <protection hidden="1"/>
    </xf>
    <xf numFmtId="179" fontId="39" fillId="14" borderId="55" xfId="0" applyNumberFormat="1" applyFont="1" applyFill="1" applyBorder="1" applyAlignment="1" applyProtection="1">
      <alignment horizontal="center" vertical="center" wrapText="1"/>
      <protection hidden="1"/>
    </xf>
    <xf numFmtId="4" fontId="39" fillId="14" borderId="40" xfId="0" applyNumberFormat="1" applyFont="1" applyFill="1" applyBorder="1" applyAlignment="1" applyProtection="1">
      <alignment horizontal="center" vertical="center" wrapText="1"/>
      <protection hidden="1"/>
    </xf>
    <xf numFmtId="180" fontId="39" fillId="14" borderId="31" xfId="0" applyNumberFormat="1" applyFont="1" applyFill="1" applyBorder="1" applyAlignment="1" applyProtection="1">
      <alignment horizontal="center" vertical="center" wrapText="1"/>
      <protection hidden="1"/>
    </xf>
    <xf numFmtId="4" fontId="39" fillId="14" borderId="9" xfId="0" applyNumberFormat="1" applyFont="1" applyFill="1" applyBorder="1" applyAlignment="1" applyProtection="1">
      <alignment horizontal="center" vertical="center" wrapText="1"/>
      <protection hidden="1"/>
    </xf>
    <xf numFmtId="0" fontId="0" fillId="14" borderId="11" xfId="0" applyFill="1" applyBorder="1" applyAlignment="1" applyProtection="1">
      <alignment horizontal="center" vertical="center" wrapText="1"/>
      <protection hidden="1"/>
    </xf>
    <xf numFmtId="4" fontId="39" fillId="14" borderId="44" xfId="0" applyNumberFormat="1" applyFont="1" applyFill="1" applyBorder="1" applyAlignment="1" applyProtection="1">
      <alignment horizontal="center" vertical="center" wrapText="1"/>
      <protection hidden="1"/>
    </xf>
    <xf numFmtId="0" fontId="0" fillId="14" borderId="55" xfId="0" applyFill="1" applyBorder="1" applyAlignment="1" applyProtection="1">
      <alignment horizontal="center" vertical="center" wrapText="1"/>
      <protection hidden="1"/>
    </xf>
    <xf numFmtId="167" fontId="39" fillId="14" borderId="31" xfId="0" applyNumberFormat="1" applyFont="1" applyFill="1" applyBorder="1" applyAlignment="1" applyProtection="1">
      <alignment horizontal="center" vertical="center" wrapText="1"/>
      <protection hidden="1"/>
    </xf>
    <xf numFmtId="167" fontId="39" fillId="14" borderId="11" xfId="0" applyNumberFormat="1" applyFont="1" applyFill="1" applyBorder="1" applyAlignment="1" applyProtection="1">
      <alignment horizontal="center" vertical="center" wrapText="1"/>
      <protection hidden="1"/>
    </xf>
    <xf numFmtId="167" fontId="39" fillId="14" borderId="44" xfId="0" applyNumberFormat="1" applyFont="1" applyFill="1" applyBorder="1" applyAlignment="1" applyProtection="1">
      <alignment horizontal="center" vertical="center"/>
      <protection hidden="1"/>
    </xf>
    <xf numFmtId="167" fontId="0" fillId="14" borderId="55" xfId="0" applyNumberFormat="1" applyFill="1" applyBorder="1" applyAlignment="1" applyProtection="1">
      <alignment horizontal="center" vertical="center" wrapText="1"/>
      <protection hidden="1"/>
    </xf>
    <xf numFmtId="0" fontId="39" fillId="14" borderId="41" xfId="0" applyFont="1" applyFill="1" applyBorder="1" applyAlignment="1" applyProtection="1">
      <alignment horizontal="center" vertical="center" wrapText="1"/>
      <protection hidden="1"/>
    </xf>
    <xf numFmtId="0" fontId="0" fillId="14" borderId="34" xfId="0" applyFill="1" applyBorder="1" applyAlignment="1" applyProtection="1">
      <alignment horizontal="center" vertical="center" wrapText="1"/>
      <protection hidden="1"/>
    </xf>
    <xf numFmtId="0" fontId="0" fillId="14" borderId="37" xfId="0" applyFill="1" applyBorder="1" applyAlignment="1" applyProtection="1">
      <alignment horizontal="center" vertical="center" wrapText="1"/>
      <protection hidden="1"/>
    </xf>
    <xf numFmtId="0" fontId="39" fillId="14" borderId="31" xfId="0" applyFont="1" applyFill="1" applyBorder="1" applyAlignment="1" applyProtection="1">
      <alignment horizontal="center" vertical="center" wrapText="1"/>
      <protection hidden="1"/>
    </xf>
    <xf numFmtId="2" fontId="39" fillId="14" borderId="9" xfId="0" applyNumberFormat="1" applyFont="1" applyFill="1" applyBorder="1" applyAlignment="1" applyProtection="1">
      <alignment horizontal="center" vertical="center"/>
      <protection hidden="1"/>
    </xf>
    <xf numFmtId="167" fontId="39" fillId="14" borderId="41" xfId="0" applyNumberFormat="1" applyFont="1" applyFill="1" applyBorder="1" applyAlignment="1" applyProtection="1">
      <alignment horizontal="center" vertical="center" wrapText="1"/>
      <protection hidden="1"/>
    </xf>
    <xf numFmtId="167" fontId="39" fillId="14" borderId="34" xfId="0" applyNumberFormat="1" applyFont="1" applyFill="1" applyBorder="1" applyAlignment="1" applyProtection="1">
      <alignment horizontal="center" vertical="center" wrapText="1"/>
      <protection hidden="1"/>
    </xf>
    <xf numFmtId="167" fontId="39" fillId="14" borderId="37" xfId="0" applyNumberFormat="1" applyFont="1" applyFill="1" applyBorder="1" applyAlignment="1" applyProtection="1">
      <alignment horizontal="center" vertical="center" wrapText="1"/>
      <protection hidden="1"/>
    </xf>
    <xf numFmtId="0" fontId="39" fillId="14" borderId="34" xfId="0" applyFont="1" applyFill="1" applyBorder="1" applyAlignment="1" applyProtection="1">
      <alignment horizontal="center" vertical="center" wrapText="1"/>
      <protection hidden="1"/>
    </xf>
    <xf numFmtId="0" fontId="39" fillId="14" borderId="37" xfId="0" applyFont="1" applyFill="1" applyBorder="1" applyAlignment="1" applyProtection="1">
      <alignment horizontal="center" vertical="center" wrapText="1"/>
      <protection hidden="1"/>
    </xf>
    <xf numFmtId="167" fontId="39" fillId="14" borderId="30" xfId="0" applyNumberFormat="1" applyFont="1" applyFill="1" applyBorder="1" applyAlignment="1" applyProtection="1">
      <alignment horizontal="center" vertical="center"/>
      <protection hidden="1"/>
    </xf>
    <xf numFmtId="0" fontId="39" fillId="14" borderId="27" xfId="0" applyFont="1" applyFill="1" applyBorder="1" applyAlignment="1" applyProtection="1">
      <alignment horizontal="center" vertical="center" wrapText="1"/>
      <protection hidden="1"/>
    </xf>
    <xf numFmtId="3" fontId="39" fillId="14" borderId="30" xfId="0" applyNumberFormat="1" applyFont="1" applyFill="1" applyBorder="1" applyAlignment="1" applyProtection="1">
      <alignment horizontal="center" vertical="center" wrapText="1"/>
      <protection hidden="1"/>
    </xf>
    <xf numFmtId="0" fontId="61" fillId="14" borderId="18" xfId="0" applyFont="1" applyFill="1" applyBorder="1" applyAlignment="1" applyProtection="1">
      <alignment horizontal="center" vertical="center" wrapText="1"/>
      <protection hidden="1"/>
    </xf>
    <xf numFmtId="0" fontId="0" fillId="14" borderId="18" xfId="0" applyFill="1" applyBorder="1" applyAlignment="1" applyProtection="1">
      <alignment horizontal="center" vertical="center" wrapText="1"/>
      <protection hidden="1"/>
    </xf>
    <xf numFmtId="0" fontId="61" fillId="14" borderId="9" xfId="0" applyFont="1" applyFill="1" applyBorder="1" applyAlignment="1" applyProtection="1">
      <alignment horizontal="center" vertical="center" wrapText="1"/>
      <protection hidden="1"/>
    </xf>
    <xf numFmtId="0" fontId="0" fillId="14" borderId="44" xfId="0" applyFill="1" applyBorder="1" applyAlignment="1" applyProtection="1">
      <alignment vertical="center" wrapText="1"/>
      <protection hidden="1"/>
    </xf>
    <xf numFmtId="3" fontId="39" fillId="14" borderId="39" xfId="0" applyNumberFormat="1" applyFont="1" applyFill="1" applyBorder="1" applyAlignment="1" applyProtection="1">
      <alignment horizontal="center" vertical="center" wrapText="1"/>
      <protection hidden="1"/>
    </xf>
    <xf numFmtId="0" fontId="61" fillId="14" borderId="40" xfId="0" applyFont="1" applyFill="1" applyBorder="1" applyAlignment="1" applyProtection="1">
      <alignment horizontal="center" vertical="center" wrapText="1"/>
      <protection hidden="1"/>
    </xf>
    <xf numFmtId="0" fontId="0" fillId="14" borderId="40" xfId="0" applyFill="1" applyBorder="1" applyAlignment="1" applyProtection="1">
      <alignment horizontal="center" vertical="center" wrapText="1"/>
      <protection hidden="1"/>
    </xf>
    <xf numFmtId="179" fontId="0" fillId="14" borderId="9" xfId="0" applyNumberFormat="1" applyFill="1" applyBorder="1" applyAlignment="1" applyProtection="1">
      <alignment horizontal="center" vertical="center" wrapText="1"/>
      <protection hidden="1"/>
    </xf>
    <xf numFmtId="4" fontId="0" fillId="14" borderId="9" xfId="0" applyNumberFormat="1" applyFill="1" applyBorder="1" applyAlignment="1" applyProtection="1">
      <alignment horizontal="center" vertical="center" wrapText="1"/>
      <protection hidden="1"/>
    </xf>
    <xf numFmtId="167" fontId="61" fillId="14" borderId="9" xfId="0" applyNumberFormat="1" applyFont="1" applyFill="1" applyBorder="1" applyAlignment="1" applyProtection="1">
      <alignment horizontal="center" vertical="center" wrapText="1"/>
      <protection hidden="1"/>
    </xf>
    <xf numFmtId="0" fontId="9" fillId="0" borderId="0" xfId="0" applyFont="1" applyProtection="1">
      <protection hidden="1"/>
    </xf>
    <xf numFmtId="0" fontId="9" fillId="0" borderId="0" xfId="0" applyFont="1" applyAlignment="1" applyProtection="1">
      <alignment horizontal="center"/>
      <protection hidden="1"/>
    </xf>
    <xf numFmtId="0" fontId="1" fillId="0" borderId="0" xfId="0" applyFont="1" applyAlignment="1" applyProtection="1">
      <alignment horizontal="right"/>
      <protection hidden="1"/>
    </xf>
    <xf numFmtId="0" fontId="1" fillId="0" borderId="0" xfId="0" applyFont="1" applyProtection="1">
      <protection locked="0" hidden="1"/>
    </xf>
    <xf numFmtId="0" fontId="81" fillId="0" borderId="0" xfId="0" applyFont="1" applyBorder="1" applyAlignment="1" applyProtection="1">
      <alignment vertical="center" wrapText="1"/>
      <protection hidden="1"/>
    </xf>
    <xf numFmtId="0" fontId="9" fillId="0" borderId="0" xfId="0" applyFont="1" applyAlignment="1" applyProtection="1">
      <alignment horizontal="center" vertical="center" wrapText="1"/>
      <protection hidden="1"/>
    </xf>
    <xf numFmtId="0" fontId="81" fillId="0" borderId="0" xfId="0" applyFont="1" applyBorder="1" applyAlignment="1" applyProtection="1">
      <alignment horizontal="left" vertical="center" wrapText="1"/>
      <protection hidden="1"/>
    </xf>
    <xf numFmtId="0" fontId="1" fillId="0" borderId="0" xfId="0" applyFont="1" applyBorder="1" applyAlignment="1" applyProtection="1">
      <alignment horizontal="left" vertical="center" wrapText="1"/>
      <protection hidden="1"/>
    </xf>
    <xf numFmtId="0" fontId="9" fillId="0" borderId="0" xfId="0" applyFont="1" applyAlignment="1" applyProtection="1">
      <alignmen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vertical="center" wrapText="1"/>
      <protection hidden="1"/>
    </xf>
    <xf numFmtId="0" fontId="9" fillId="0" borderId="0" xfId="0" applyFont="1" applyBorder="1" applyProtection="1">
      <protection hidden="1"/>
    </xf>
    <xf numFmtId="0" fontId="2" fillId="0" borderId="0" xfId="0" applyFont="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0" fontId="9" fillId="0" borderId="0" xfId="0" applyFont="1" applyBorder="1" applyAlignment="1" applyProtection="1">
      <protection hidden="1"/>
    </xf>
    <xf numFmtId="0" fontId="2" fillId="0" borderId="0" xfId="0" applyFont="1" applyBorder="1" applyAlignment="1" applyProtection="1">
      <protection hidden="1"/>
    </xf>
    <xf numFmtId="0" fontId="9" fillId="0" borderId="0" xfId="0" applyFont="1" applyAlignment="1" applyProtection="1">
      <alignment horizontal="left" vertical="center" wrapText="1"/>
      <protection hidden="1"/>
    </xf>
    <xf numFmtId="0" fontId="2" fillId="0" borderId="0" xfId="0" applyFont="1" applyAlignment="1" applyProtection="1">
      <alignment horizontal="center" vertical="center"/>
      <protection hidden="1"/>
    </xf>
    <xf numFmtId="0" fontId="1" fillId="0" borderId="0" xfId="0" applyFont="1" applyAlignment="1" applyProtection="1">
      <alignment vertical="center"/>
      <protection hidden="1"/>
    </xf>
    <xf numFmtId="0" fontId="2" fillId="0" borderId="0" xfId="0" applyFont="1" applyAlignment="1" applyProtection="1">
      <alignment horizontal="justify" vertical="justify" wrapText="1"/>
      <protection hidden="1"/>
    </xf>
    <xf numFmtId="0" fontId="9" fillId="0" borderId="0" xfId="0" applyFont="1" applyAlignment="1" applyProtection="1">
      <alignment vertical="justify" wrapText="1"/>
      <protection hidden="1"/>
    </xf>
    <xf numFmtId="0" fontId="3" fillId="0" borderId="0" xfId="0" applyFont="1" applyAlignment="1" applyProtection="1">
      <alignment horizontal="left" vertical="center" wrapText="1"/>
      <protection hidden="1"/>
    </xf>
    <xf numFmtId="0" fontId="3" fillId="0" borderId="0" xfId="0" applyFont="1" applyAlignment="1" applyProtection="1">
      <alignment horizontal="justify" vertical="justify" wrapText="1"/>
      <protection hidden="1"/>
    </xf>
    <xf numFmtId="0" fontId="83" fillId="0" borderId="0" xfId="0" applyFont="1" applyAlignment="1" applyProtection="1">
      <alignment horizontal="justify" vertical="center"/>
      <protection hidden="1"/>
    </xf>
    <xf numFmtId="0" fontId="75" fillId="0" borderId="0" xfId="0" applyFont="1" applyAlignment="1" applyProtection="1">
      <alignment horizontal="center"/>
      <protection hidden="1"/>
    </xf>
    <xf numFmtId="0" fontId="30" fillId="0" borderId="0" xfId="0" applyFont="1" applyBorder="1" applyAlignment="1" applyProtection="1">
      <alignment horizontal="center" vertical="center" wrapText="1"/>
      <protection hidden="1"/>
    </xf>
    <xf numFmtId="0" fontId="1" fillId="0" borderId="0" xfId="0" applyFont="1" applyBorder="1" applyAlignment="1" applyProtection="1">
      <alignment horizontal="center" vertical="center" wrapText="1"/>
      <protection hidden="1"/>
    </xf>
    <xf numFmtId="1" fontId="1" fillId="0" borderId="0" xfId="0" applyNumberFormat="1" applyFont="1" applyAlignment="1" applyProtection="1">
      <alignment horizontal="center"/>
      <protection hidden="1"/>
    </xf>
    <xf numFmtId="0" fontId="3" fillId="0" borderId="0" xfId="0" applyFont="1" applyAlignment="1" applyProtection="1">
      <alignment horizontal="justify" vertical="center"/>
      <protection hidden="1"/>
    </xf>
    <xf numFmtId="0" fontId="2" fillId="0" borderId="0" xfId="0" applyFont="1" applyAlignment="1" applyProtection="1">
      <alignment horizontal="left" vertical="justify" wrapText="1"/>
      <protection hidden="1"/>
    </xf>
    <xf numFmtId="0" fontId="2" fillId="0" borderId="0" xfId="0" applyFont="1" applyAlignment="1" applyProtection="1">
      <alignment horizontal="left"/>
      <protection hidden="1"/>
    </xf>
    <xf numFmtId="0" fontId="3" fillId="0" borderId="0" xfId="0" applyFont="1" applyAlignment="1" applyProtection="1">
      <alignment horizontal="left"/>
      <protection hidden="1"/>
    </xf>
    <xf numFmtId="0" fontId="81" fillId="0" borderId="0" xfId="0" applyFont="1" applyAlignment="1" applyProtection="1">
      <alignment horizontal="left" vertical="center"/>
      <protection hidden="1"/>
    </xf>
    <xf numFmtId="0" fontId="9" fillId="0" borderId="0" xfId="0" applyFont="1" applyAlignment="1" applyProtection="1">
      <alignment horizontal="justify" vertical="justify" wrapText="1"/>
      <protection hidden="1"/>
    </xf>
    <xf numFmtId="178" fontId="9" fillId="0" borderId="0" xfId="0" applyNumberFormat="1" applyFont="1" applyAlignment="1" applyProtection="1">
      <alignment wrapText="1"/>
      <protection hidden="1"/>
    </xf>
    <xf numFmtId="0" fontId="2" fillId="0" borderId="0" xfId="0" applyFont="1" applyAlignment="1" applyProtection="1">
      <alignment horizontal="right" vertical="top" wrapText="1"/>
      <protection hidden="1"/>
    </xf>
    <xf numFmtId="0" fontId="2" fillId="0" borderId="0" xfId="0" applyFont="1" applyFill="1" applyAlignment="1" applyProtection="1">
      <alignment horizontal="left" wrapText="1"/>
      <protection hidden="1"/>
    </xf>
    <xf numFmtId="0" fontId="2" fillId="0" borderId="0" xfId="0" applyFont="1" applyFill="1" applyProtection="1">
      <protection hidden="1"/>
    </xf>
    <xf numFmtId="0" fontId="84" fillId="0" borderId="0" xfId="0" applyFont="1" applyProtection="1">
      <protection hidden="1"/>
    </xf>
    <xf numFmtId="0" fontId="1" fillId="0" borderId="0" xfId="0" applyFont="1" applyAlignment="1" applyProtection="1">
      <alignment horizontal="left" vertical="center"/>
      <protection hidden="1"/>
    </xf>
    <xf numFmtId="0" fontId="81" fillId="0" borderId="0"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85" fillId="0" borderId="0" xfId="0" applyFont="1" applyProtection="1">
      <protection hidden="1"/>
    </xf>
    <xf numFmtId="0" fontId="85" fillId="24" borderId="0" xfId="6" applyFont="1" applyAlignment="1" applyProtection="1">
      <alignment horizontal="center" vertical="center"/>
      <protection locked="0" hidden="1"/>
    </xf>
    <xf numFmtId="0" fontId="9" fillId="0" borderId="0" xfId="0" applyFont="1" applyBorder="1" applyAlignment="1" applyProtection="1">
      <alignment horizontal="center" vertical="center" wrapText="1"/>
      <protection hidden="1"/>
    </xf>
    <xf numFmtId="0" fontId="9" fillId="2" borderId="0" xfId="0" applyFont="1" applyFill="1" applyBorder="1" applyProtection="1">
      <protection hidden="1"/>
    </xf>
    <xf numFmtId="0" fontId="84" fillId="2" borderId="0" xfId="0" applyFont="1" applyFill="1" applyBorder="1" applyProtection="1">
      <protection hidden="1"/>
    </xf>
    <xf numFmtId="0" fontId="30" fillId="0" borderId="0" xfId="0" applyFont="1" applyAlignment="1" applyProtection="1">
      <alignment horizontal="left" vertical="center"/>
      <protection hidden="1"/>
    </xf>
    <xf numFmtId="0" fontId="84" fillId="0" borderId="0" xfId="0" applyFont="1" applyAlignment="1" applyProtection="1">
      <alignment horizontal="justify" vertical="justify" wrapText="1"/>
      <protection hidden="1"/>
    </xf>
    <xf numFmtId="0" fontId="7" fillId="0" borderId="2" xfId="0" applyFont="1" applyBorder="1" applyAlignment="1" applyProtection="1">
      <alignment horizontal="centerContinuous" vertical="center" wrapText="1"/>
      <protection hidden="1"/>
    </xf>
    <xf numFmtId="0" fontId="20" fillId="0" borderId="71" xfId="0" applyFont="1" applyFill="1" applyBorder="1" applyAlignment="1" applyProtection="1">
      <alignment horizontal="center" vertical="center" wrapText="1"/>
      <protection hidden="1"/>
    </xf>
    <xf numFmtId="0" fontId="20" fillId="0" borderId="71" xfId="0" applyFont="1" applyBorder="1" applyAlignment="1" applyProtection="1">
      <alignment horizontal="center" vertical="center" wrapText="1"/>
      <protection hidden="1"/>
    </xf>
    <xf numFmtId="167" fontId="20" fillId="0" borderId="1" xfId="0" applyNumberFormat="1" applyFont="1" applyFill="1" applyBorder="1" applyAlignment="1" applyProtection="1">
      <alignment horizontal="centerContinuous" vertical="center" wrapText="1"/>
      <protection hidden="1"/>
    </xf>
    <xf numFmtId="0" fontId="20" fillId="0" borderId="1" xfId="0" applyFont="1" applyFill="1" applyBorder="1" applyAlignment="1" applyProtection="1">
      <alignment horizontal="center" vertical="center" wrapText="1"/>
      <protection hidden="1"/>
    </xf>
    <xf numFmtId="0" fontId="20" fillId="2" borderId="1" xfId="0" applyFont="1" applyFill="1" applyBorder="1" applyAlignment="1" applyProtection="1">
      <alignment horizontal="center" vertical="center" wrapText="1"/>
      <protection hidden="1"/>
    </xf>
    <xf numFmtId="165" fontId="20" fillId="2" borderId="1" xfId="0" applyNumberFormat="1" applyFont="1" applyFill="1" applyBorder="1" applyAlignment="1" applyProtection="1">
      <alignment horizontal="center" vertical="center" wrapText="1"/>
      <protection hidden="1"/>
    </xf>
    <xf numFmtId="177" fontId="20" fillId="0" borderId="0" xfId="0" applyNumberFormat="1" applyFont="1" applyFill="1" applyBorder="1" applyAlignment="1" applyProtection="1">
      <alignment horizontal="centerContinuous" vertical="center" wrapText="1"/>
      <protection hidden="1"/>
    </xf>
    <xf numFmtId="0" fontId="20" fillId="0" borderId="0" xfId="0" applyFont="1" applyFill="1" applyBorder="1" applyAlignment="1" applyProtection="1">
      <alignment horizontal="centerContinuous" vertical="center" wrapText="1"/>
      <protection hidden="1"/>
    </xf>
    <xf numFmtId="1" fontId="20" fillId="0" borderId="0" xfId="0" applyNumberFormat="1" applyFont="1" applyFill="1" applyBorder="1" applyAlignment="1" applyProtection="1">
      <alignment horizontal="center" vertical="center" wrapText="1"/>
      <protection hidden="1"/>
    </xf>
    <xf numFmtId="165" fontId="20" fillId="2" borderId="0" xfId="0" applyNumberFormat="1" applyFont="1" applyFill="1" applyBorder="1" applyAlignment="1" applyProtection="1">
      <alignment horizontal="center" vertical="center" wrapText="1"/>
      <protection hidden="1"/>
    </xf>
    <xf numFmtId="167" fontId="20" fillId="0" borderId="0" xfId="0" applyNumberFormat="1" applyFont="1" applyFill="1" applyBorder="1" applyAlignment="1" applyProtection="1">
      <alignment horizontal="centerContinuous" vertical="center" wrapText="1"/>
      <protection hidden="1"/>
    </xf>
    <xf numFmtId="0" fontId="20" fillId="0" borderId="0" xfId="0" applyFont="1" applyFill="1" applyProtection="1">
      <protection hidden="1"/>
    </xf>
    <xf numFmtId="0" fontId="7" fillId="0" borderId="2" xfId="0" applyFont="1" applyFill="1" applyBorder="1" applyAlignment="1" applyProtection="1">
      <alignment horizontal="centerContinuous" vertical="center" wrapText="1"/>
      <protection hidden="1"/>
    </xf>
    <xf numFmtId="0" fontId="7" fillId="0" borderId="4" xfId="0" applyFont="1" applyFill="1" applyBorder="1" applyAlignment="1" applyProtection="1">
      <alignment horizontal="centerContinuous" vertical="center" wrapText="1"/>
      <protection hidden="1"/>
    </xf>
    <xf numFmtId="167" fontId="20" fillId="0" borderId="1" xfId="0" applyNumberFormat="1" applyFont="1" applyFill="1" applyBorder="1" applyAlignment="1" applyProtection="1">
      <alignment horizontal="center" vertical="center" wrapText="1"/>
      <protection hidden="1"/>
    </xf>
    <xf numFmtId="0" fontId="20" fillId="0" borderId="6" xfId="0" applyFont="1" applyFill="1" applyBorder="1" applyAlignment="1" applyProtection="1">
      <alignment horizontal="center" vertical="center" wrapText="1"/>
      <protection hidden="1"/>
    </xf>
    <xf numFmtId="2" fontId="20" fillId="0" borderId="1" xfId="0" applyNumberFormat="1" applyFont="1" applyFill="1" applyBorder="1" applyAlignment="1" applyProtection="1">
      <alignment horizontal="centerContinuous" vertical="center" wrapText="1"/>
      <protection hidden="1"/>
    </xf>
    <xf numFmtId="165" fontId="20" fillId="0" borderId="1" xfId="0" applyNumberFormat="1" applyFont="1" applyFill="1" applyBorder="1" applyAlignment="1" applyProtection="1">
      <alignment horizontal="centerContinuous" vertical="center" wrapText="1"/>
      <protection hidden="1"/>
    </xf>
    <xf numFmtId="0" fontId="9" fillId="2" borderId="1" xfId="0" applyFont="1" applyFill="1" applyBorder="1" applyAlignment="1" applyProtection="1">
      <alignment horizontal="center" vertical="center" wrapText="1"/>
      <protection hidden="1"/>
    </xf>
    <xf numFmtId="167" fontId="1" fillId="0" borderId="1" xfId="0" applyNumberFormat="1" applyFont="1" applyBorder="1" applyAlignment="1" applyProtection="1">
      <alignment horizontal="center" vertical="center" wrapText="1"/>
      <protection hidden="1"/>
    </xf>
    <xf numFmtId="0" fontId="2" fillId="0" borderId="0"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locked="0" hidden="1"/>
    </xf>
    <xf numFmtId="0" fontId="17" fillId="0" borderId="0" xfId="0" applyFont="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2" fillId="0" borderId="0" xfId="0" applyFont="1" applyBorder="1" applyAlignment="1" applyProtection="1">
      <alignment vertical="center" wrapText="1"/>
      <protection hidden="1"/>
    </xf>
    <xf numFmtId="2" fontId="1" fillId="0" borderId="58" xfId="0" applyNumberFormat="1" applyFont="1" applyBorder="1" applyAlignment="1" applyProtection="1">
      <alignment horizontal="center" wrapText="1"/>
      <protection hidden="1"/>
    </xf>
    <xf numFmtId="2" fontId="1" fillId="0" borderId="54" xfId="0" applyNumberFormat="1" applyFont="1" applyBorder="1" applyAlignment="1" applyProtection="1">
      <alignment horizontal="center" wrapText="1"/>
      <protection hidden="1"/>
    </xf>
    <xf numFmtId="166" fontId="1" fillId="0" borderId="35" xfId="0" applyNumberFormat="1" applyFont="1" applyBorder="1" applyAlignment="1" applyProtection="1">
      <alignment horizontal="center" wrapText="1"/>
      <protection hidden="1"/>
    </xf>
    <xf numFmtId="166" fontId="1" fillId="0" borderId="33" xfId="0" applyNumberFormat="1" applyFont="1" applyBorder="1" applyAlignment="1" applyProtection="1">
      <alignment horizontal="center" wrapText="1"/>
      <protection hidden="1"/>
    </xf>
    <xf numFmtId="165" fontId="1" fillId="0" borderId="56" xfId="0" applyNumberFormat="1" applyFont="1" applyBorder="1" applyAlignment="1" applyProtection="1">
      <alignment horizontal="center" wrapText="1"/>
      <protection hidden="1"/>
    </xf>
    <xf numFmtId="165" fontId="1" fillId="0" borderId="61" xfId="0" applyNumberFormat="1" applyFont="1" applyBorder="1" applyAlignment="1" applyProtection="1">
      <alignment horizontal="center" wrapText="1"/>
      <protection hidden="1"/>
    </xf>
    <xf numFmtId="0" fontId="2" fillId="24" borderId="0" xfId="6" applyFont="1" applyProtection="1">
      <alignment horizontal="center"/>
      <protection locked="0" hidden="1"/>
    </xf>
    <xf numFmtId="0" fontId="2" fillId="0" borderId="0" xfId="0" applyFont="1" applyAlignment="1" applyProtection="1">
      <protection hidden="1"/>
    </xf>
    <xf numFmtId="181" fontId="39" fillId="7" borderId="40" xfId="0" applyNumberFormat="1" applyFont="1" applyFill="1" applyBorder="1" applyAlignment="1" applyProtection="1">
      <alignment horizontal="center" vertical="center"/>
      <protection hidden="1"/>
    </xf>
    <xf numFmtId="181" fontId="39" fillId="7" borderId="53" xfId="0" applyNumberFormat="1" applyFont="1" applyFill="1" applyBorder="1" applyAlignment="1" applyProtection="1">
      <alignment horizontal="center" vertical="center"/>
      <protection hidden="1"/>
    </xf>
    <xf numFmtId="2" fontId="39" fillId="7" borderId="44" xfId="0" applyNumberFormat="1" applyFont="1" applyFill="1" applyBorder="1" applyAlignment="1" applyProtection="1">
      <alignment horizontal="center" vertical="center"/>
      <protection hidden="1"/>
    </xf>
    <xf numFmtId="0" fontId="18" fillId="5" borderId="4" xfId="0" applyFont="1" applyFill="1" applyBorder="1" applyAlignment="1" applyProtection="1">
      <alignment horizontal="center" vertical="center" wrapText="1"/>
      <protection hidden="1"/>
    </xf>
    <xf numFmtId="0" fontId="3" fillId="5" borderId="23" xfId="0" applyFont="1" applyFill="1" applyBorder="1" applyAlignment="1" applyProtection="1">
      <alignment horizontal="left" vertical="center" wrapText="1"/>
      <protection hidden="1"/>
    </xf>
    <xf numFmtId="0" fontId="4" fillId="16" borderId="8" xfId="0" applyFont="1" applyFill="1" applyBorder="1" applyAlignment="1" applyProtection="1">
      <alignment horizontal="center" vertical="center" wrapText="1"/>
      <protection hidden="1"/>
    </xf>
    <xf numFmtId="14" fontId="20" fillId="19" borderId="22" xfId="0" applyNumberFormat="1" applyFont="1" applyFill="1" applyBorder="1" applyAlignment="1" applyProtection="1">
      <alignment horizontal="center" vertical="center" wrapText="1"/>
      <protection hidden="1"/>
    </xf>
    <xf numFmtId="0" fontId="20" fillId="12" borderId="14" xfId="0" applyFont="1" applyFill="1" applyBorder="1" applyAlignment="1" applyProtection="1">
      <alignment horizontal="center" vertical="center" wrapText="1"/>
      <protection hidden="1"/>
    </xf>
    <xf numFmtId="0" fontId="35" fillId="2" borderId="23"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2" fontId="20" fillId="15" borderId="9" xfId="0" applyNumberFormat="1" applyFont="1" applyFill="1" applyBorder="1" applyAlignment="1" applyProtection="1">
      <alignment horizontal="center" vertical="center" wrapText="1"/>
      <protection hidden="1"/>
    </xf>
    <xf numFmtId="2" fontId="20" fillId="15" borderId="44" xfId="0" applyNumberFormat="1"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7" fillId="14" borderId="6" xfId="0" applyFont="1" applyFill="1" applyBorder="1" applyAlignment="1" applyProtection="1">
      <alignment horizontal="center" vertical="center" wrapText="1"/>
      <protection hidden="1"/>
    </xf>
    <xf numFmtId="0" fontId="0" fillId="14" borderId="9" xfId="0" applyFill="1" applyBorder="1" applyAlignment="1" applyProtection="1">
      <alignment horizontal="center" vertical="center" wrapText="1"/>
      <protection hidden="1"/>
    </xf>
    <xf numFmtId="0" fontId="0" fillId="14" borderId="44" xfId="0" applyFill="1" applyBorder="1" applyAlignment="1" applyProtection="1">
      <alignment horizontal="center" vertical="center" wrapText="1"/>
      <protection hidden="1"/>
    </xf>
    <xf numFmtId="0" fontId="0" fillId="14" borderId="34" xfId="0" applyFill="1" applyBorder="1" applyAlignment="1" applyProtection="1">
      <alignment horizontal="center" vertical="center" wrapText="1"/>
      <protection hidden="1"/>
    </xf>
    <xf numFmtId="0" fontId="0" fillId="14" borderId="37" xfId="0" applyFill="1" applyBorder="1" applyAlignment="1" applyProtection="1">
      <alignment horizontal="center" vertical="center" wrapText="1"/>
      <protection hidden="1"/>
    </xf>
    <xf numFmtId="0" fontId="39" fillId="14" borderId="41" xfId="0" applyFont="1" applyFill="1" applyBorder="1" applyAlignment="1" applyProtection="1">
      <alignment horizontal="center" vertical="center" wrapText="1"/>
      <protection hidden="1"/>
    </xf>
    <xf numFmtId="167" fontId="39" fillId="14" borderId="41" xfId="0" applyNumberFormat="1" applyFont="1" applyFill="1" applyBorder="1" applyAlignment="1" applyProtection="1">
      <alignment horizontal="center" vertical="center"/>
      <protection hidden="1"/>
    </xf>
    <xf numFmtId="167" fontId="39" fillId="14" borderId="34" xfId="0" applyNumberFormat="1" applyFont="1" applyFill="1" applyBorder="1" applyAlignment="1" applyProtection="1">
      <alignment horizontal="center" vertical="center"/>
      <protection hidden="1"/>
    </xf>
    <xf numFmtId="167" fontId="61" fillId="7" borderId="33" xfId="0" applyNumberFormat="1" applyFont="1" applyFill="1" applyBorder="1" applyAlignment="1" applyProtection="1">
      <alignment horizontal="center" vertical="center"/>
      <protection hidden="1"/>
    </xf>
    <xf numFmtId="0" fontId="61" fillId="7" borderId="33" xfId="0" applyFont="1" applyFill="1" applyBorder="1" applyAlignment="1" applyProtection="1">
      <alignment horizontal="center" vertical="center"/>
      <protection hidden="1"/>
    </xf>
    <xf numFmtId="0" fontId="61" fillId="7" borderId="61" xfId="0" applyFont="1" applyFill="1" applyBorder="1" applyAlignment="1" applyProtection="1">
      <alignment horizontal="center" vertical="center"/>
      <protection hidden="1"/>
    </xf>
    <xf numFmtId="167" fontId="61" fillId="7" borderId="54" xfId="0" applyNumberFormat="1" applyFont="1" applyFill="1" applyBorder="1" applyAlignment="1" applyProtection="1">
      <alignment horizontal="center" vertical="center"/>
      <protection hidden="1"/>
    </xf>
    <xf numFmtId="0" fontId="61" fillId="7" borderId="79" xfId="0" applyFont="1" applyFill="1" applyBorder="1" applyAlignment="1" applyProtection="1">
      <alignment horizontal="center" vertical="center"/>
      <protection hidden="1"/>
    </xf>
    <xf numFmtId="0" fontId="40" fillId="7" borderId="71" xfId="0" applyFont="1" applyFill="1" applyBorder="1" applyAlignment="1" applyProtection="1">
      <alignment horizontal="center" vertical="center" wrapText="1"/>
      <protection hidden="1"/>
    </xf>
    <xf numFmtId="167" fontId="40" fillId="7" borderId="1" xfId="0" applyNumberFormat="1" applyFont="1" applyFill="1" applyBorder="1" applyAlignment="1" applyProtection="1">
      <alignment horizontal="center" vertical="center" wrapText="1"/>
      <protection hidden="1"/>
    </xf>
    <xf numFmtId="0" fontId="40" fillId="7" borderId="1" xfId="0" applyFont="1" applyFill="1" applyBorder="1" applyAlignment="1" applyProtection="1">
      <alignment horizontal="center" vertical="center" wrapText="1"/>
      <protection hidden="1"/>
    </xf>
    <xf numFmtId="2" fontId="40" fillId="7" borderId="1" xfId="0" applyNumberFormat="1" applyFont="1" applyFill="1" applyBorder="1" applyAlignment="1" applyProtection="1">
      <alignment horizontal="center" vertical="center" wrapText="1"/>
      <protection hidden="1"/>
    </xf>
    <xf numFmtId="0" fontId="67" fillId="7" borderId="39" xfId="0" applyFont="1" applyFill="1" applyBorder="1" applyAlignment="1" applyProtection="1">
      <alignment horizontal="center" vertical="center" wrapText="1"/>
      <protection hidden="1"/>
    </xf>
    <xf numFmtId="0" fontId="80" fillId="7" borderId="40" xfId="0" applyFont="1" applyFill="1" applyBorder="1" applyAlignment="1" applyProtection="1">
      <alignment horizontal="center" vertical="center" wrapText="1"/>
      <protection hidden="1"/>
    </xf>
    <xf numFmtId="0" fontId="67" fillId="7" borderId="41" xfId="0" applyFont="1" applyFill="1" applyBorder="1" applyAlignment="1" applyProtection="1">
      <alignment horizontal="center" vertical="center" wrapText="1"/>
      <protection hidden="1"/>
    </xf>
    <xf numFmtId="0" fontId="67" fillId="7" borderId="43" xfId="0" applyFont="1" applyFill="1" applyBorder="1" applyAlignment="1" applyProtection="1">
      <alignment horizontal="center" vertical="center" wrapText="1"/>
      <protection hidden="1"/>
    </xf>
    <xf numFmtId="0" fontId="67" fillId="7" borderId="44" xfId="0" applyFont="1" applyFill="1" applyBorder="1" applyAlignment="1" applyProtection="1">
      <alignment horizontal="center" vertical="center" wrapText="1"/>
      <protection hidden="1"/>
    </xf>
    <xf numFmtId="0" fontId="67" fillId="7" borderId="37" xfId="0" applyFont="1" applyFill="1" applyBorder="1" applyAlignment="1" applyProtection="1">
      <alignment horizontal="center" vertical="center" wrapText="1"/>
      <protection hidden="1"/>
    </xf>
    <xf numFmtId="166" fontId="20" fillId="19" borderId="9" xfId="0" applyNumberFormat="1" applyFont="1" applyFill="1" applyBorder="1" applyAlignment="1" applyProtection="1">
      <alignment horizontal="center" vertical="center" wrapText="1"/>
      <protection hidden="1"/>
    </xf>
    <xf numFmtId="164" fontId="20" fillId="19" borderId="9" xfId="0" applyNumberFormat="1" applyFont="1" applyFill="1" applyBorder="1" applyAlignment="1" applyProtection="1">
      <alignment horizontal="center" vertical="center" wrapText="1"/>
      <protection hidden="1"/>
    </xf>
    <xf numFmtId="173" fontId="20" fillId="19" borderId="9" xfId="0" applyNumberFormat="1" applyFont="1" applyFill="1" applyBorder="1" applyAlignment="1" applyProtection="1">
      <alignment horizontal="center" vertical="center" wrapText="1"/>
      <protection hidden="1"/>
    </xf>
    <xf numFmtId="173" fontId="20" fillId="19" borderId="44" xfId="0" applyNumberFormat="1" applyFont="1" applyFill="1" applyBorder="1" applyAlignment="1" applyProtection="1">
      <alignment horizontal="center" vertical="center" wrapText="1"/>
      <protection hidden="1"/>
    </xf>
    <xf numFmtId="0" fontId="20" fillId="19" borderId="9" xfId="0" applyFont="1" applyFill="1" applyBorder="1" applyAlignment="1" applyProtection="1">
      <alignment horizontal="center" vertical="center" wrapText="1"/>
      <protection hidden="1"/>
    </xf>
    <xf numFmtId="167" fontId="20" fillId="15" borderId="9" xfId="0" applyNumberFormat="1" applyFont="1" applyFill="1" applyBorder="1" applyAlignment="1" applyProtection="1">
      <alignment horizontal="center" vertical="center" wrapText="1"/>
      <protection hidden="1"/>
    </xf>
    <xf numFmtId="166" fontId="20" fillId="15" borderId="44" xfId="0" applyNumberFormat="1" applyFont="1" applyFill="1" applyBorder="1" applyAlignment="1" applyProtection="1">
      <alignment horizontal="center" vertical="center" wrapText="1"/>
      <protection hidden="1"/>
    </xf>
    <xf numFmtId="165" fontId="20" fillId="15" borderId="9" xfId="0" applyNumberFormat="1" applyFont="1" applyFill="1" applyBorder="1" applyAlignment="1" applyProtection="1">
      <alignment horizontal="center" vertical="center" wrapText="1"/>
      <protection hidden="1"/>
    </xf>
    <xf numFmtId="165" fontId="20" fillId="15" borderId="44" xfId="0" applyNumberFormat="1" applyFont="1" applyFill="1" applyBorder="1" applyAlignment="1" applyProtection="1">
      <alignment horizontal="center" vertical="center" wrapText="1"/>
      <protection hidden="1"/>
    </xf>
    <xf numFmtId="173" fontId="39" fillId="7" borderId="22" xfId="0" applyNumberFormat="1" applyFont="1" applyFill="1" applyBorder="1" applyAlignment="1" applyProtection="1">
      <alignment horizontal="center" vertical="center"/>
      <protection hidden="1"/>
    </xf>
    <xf numFmtId="169" fontId="20" fillId="15" borderId="9" xfId="0" applyNumberFormat="1" applyFont="1" applyFill="1" applyBorder="1" applyAlignment="1" applyProtection="1">
      <alignment horizontal="center" vertical="center" wrapText="1"/>
      <protection hidden="1"/>
    </xf>
    <xf numFmtId="14" fontId="2" fillId="5" borderId="40" xfId="0" applyNumberFormat="1" applyFont="1" applyFill="1" applyBorder="1" applyAlignment="1" applyProtection="1">
      <alignment horizontal="center" vertical="center" wrapText="1"/>
      <protection hidden="1"/>
    </xf>
    <xf numFmtId="0" fontId="1" fillId="5" borderId="64" xfId="0" applyFont="1" applyFill="1" applyBorder="1" applyAlignment="1" applyProtection="1">
      <alignment vertical="top" wrapText="1"/>
      <protection hidden="1"/>
    </xf>
    <xf numFmtId="0" fontId="2" fillId="5" borderId="53" xfId="0" applyFont="1" applyFill="1" applyBorder="1" applyAlignment="1" applyProtection="1">
      <alignment horizontal="center" vertical="center" wrapText="1"/>
      <protection hidden="1"/>
    </xf>
    <xf numFmtId="14" fontId="2" fillId="5" borderId="53" xfId="0" applyNumberFormat="1" applyFont="1" applyFill="1" applyBorder="1" applyAlignment="1" applyProtection="1">
      <alignment horizontal="center" vertical="center" wrapText="1"/>
      <protection hidden="1"/>
    </xf>
    <xf numFmtId="165" fontId="2" fillId="5" borderId="53" xfId="0" applyNumberFormat="1" applyFont="1" applyFill="1" applyBorder="1" applyAlignment="1" applyProtection="1">
      <alignment horizontal="center" vertical="center" wrapText="1"/>
      <protection hidden="1"/>
    </xf>
    <xf numFmtId="1" fontId="2" fillId="5" borderId="53" xfId="0" applyNumberFormat="1" applyFont="1" applyFill="1" applyBorder="1" applyAlignment="1" applyProtection="1">
      <alignment horizontal="center" vertical="center" wrapText="1"/>
      <protection hidden="1"/>
    </xf>
    <xf numFmtId="169" fontId="2" fillId="5" borderId="53" xfId="0" applyNumberFormat="1" applyFont="1" applyFill="1" applyBorder="1" applyAlignment="1" applyProtection="1">
      <alignment horizontal="center" vertical="center" wrapText="1"/>
      <protection hidden="1"/>
    </xf>
    <xf numFmtId="0" fontId="2" fillId="5" borderId="78" xfId="0" applyFont="1" applyFill="1" applyBorder="1" applyAlignment="1" applyProtection="1">
      <alignment horizontal="center" vertical="center" wrapText="1"/>
      <protection hidden="1"/>
    </xf>
    <xf numFmtId="165" fontId="2" fillId="5" borderId="40" xfId="0" applyNumberFormat="1" applyFont="1" applyFill="1" applyBorder="1" applyAlignment="1" applyProtection="1">
      <alignment horizontal="center" vertical="center" wrapText="1"/>
      <protection hidden="1"/>
    </xf>
    <xf numFmtId="164" fontId="2" fillId="5" borderId="40" xfId="0" applyNumberFormat="1" applyFont="1" applyFill="1" applyBorder="1" applyAlignment="1" applyProtection="1">
      <alignment horizontal="center" vertical="center" wrapText="1"/>
      <protection hidden="1"/>
    </xf>
    <xf numFmtId="169" fontId="2" fillId="5" borderId="40" xfId="0" applyNumberFormat="1" applyFont="1" applyFill="1" applyBorder="1" applyAlignment="1" applyProtection="1">
      <alignment horizontal="center" vertical="center" wrapText="1"/>
      <protection hidden="1"/>
    </xf>
    <xf numFmtId="0" fontId="2" fillId="5" borderId="41" xfId="0" applyFont="1" applyFill="1" applyBorder="1" applyAlignment="1" applyProtection="1">
      <alignment horizontal="center" vertical="center" wrapText="1"/>
      <protection hidden="1"/>
    </xf>
    <xf numFmtId="2" fontId="2" fillId="2" borderId="19" xfId="0" applyNumberFormat="1" applyFont="1" applyFill="1" applyBorder="1" applyAlignment="1" applyProtection="1">
      <alignment horizontal="center" vertical="center"/>
      <protection hidden="1"/>
    </xf>
    <xf numFmtId="2" fontId="2" fillId="2" borderId="20" xfId="0" applyNumberFormat="1" applyFont="1" applyFill="1" applyBorder="1" applyAlignment="1" applyProtection="1">
      <alignment horizontal="center" vertical="center"/>
      <protection hidden="1"/>
    </xf>
    <xf numFmtId="0" fontId="2" fillId="2" borderId="70" xfId="0" applyFont="1" applyFill="1" applyBorder="1" applyAlignment="1" applyProtection="1">
      <alignment vertical="center" wrapText="1"/>
      <protection hidden="1"/>
    </xf>
    <xf numFmtId="14" fontId="2" fillId="5" borderId="15" xfId="0" applyNumberFormat="1" applyFont="1" applyFill="1" applyBorder="1" applyAlignment="1" applyProtection="1">
      <alignment horizontal="center" vertical="center" wrapText="1"/>
      <protection hidden="1"/>
    </xf>
    <xf numFmtId="0" fontId="2" fillId="7" borderId="10" xfId="0" applyFont="1" applyFill="1" applyBorder="1" applyAlignment="1" applyProtection="1">
      <alignment horizontal="center" vertical="center" wrapText="1"/>
      <protection hidden="1"/>
    </xf>
    <xf numFmtId="166" fontId="2" fillId="2" borderId="10" xfId="0" applyNumberFormat="1" applyFont="1" applyFill="1" applyBorder="1" applyAlignment="1" applyProtection="1">
      <alignment horizontal="center" vertical="center"/>
      <protection hidden="1"/>
    </xf>
    <xf numFmtId="2" fontId="1" fillId="7" borderId="1" xfId="0" applyNumberFormat="1" applyFont="1" applyFill="1" applyBorder="1" applyAlignment="1" applyProtection="1">
      <alignment horizontal="center" vertical="center" wrapText="1"/>
      <protection hidden="1"/>
    </xf>
    <xf numFmtId="14" fontId="2" fillId="5" borderId="20" xfId="0" applyNumberFormat="1" applyFont="1" applyFill="1" applyBorder="1" applyAlignment="1" applyProtection="1">
      <alignment horizontal="center" vertical="center" wrapText="1"/>
      <protection hidden="1"/>
    </xf>
    <xf numFmtId="0" fontId="2" fillId="5" borderId="19" xfId="0" applyFont="1" applyFill="1" applyBorder="1" applyAlignment="1" applyProtection="1">
      <alignment horizontal="center" vertical="center" wrapText="1"/>
      <protection hidden="1"/>
    </xf>
    <xf numFmtId="0" fontId="2" fillId="5" borderId="22" xfId="0" applyFont="1" applyFill="1" applyBorder="1" applyAlignment="1" applyProtection="1">
      <alignment horizontal="center" vertical="center" wrapText="1"/>
      <protection hidden="1"/>
    </xf>
    <xf numFmtId="0" fontId="2" fillId="5" borderId="21"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165" fontId="2" fillId="7" borderId="40" xfId="0" applyNumberFormat="1" applyFont="1" applyFill="1" applyBorder="1" applyAlignment="1" applyProtection="1">
      <alignment horizontal="center" vertical="center" wrapText="1"/>
      <protection hidden="1"/>
    </xf>
    <xf numFmtId="165" fontId="2" fillId="7" borderId="31" xfId="0" applyNumberFormat="1" applyFont="1" applyFill="1" applyBorder="1" applyAlignment="1" applyProtection="1">
      <alignment horizontal="center" vertical="center" wrapText="1"/>
      <protection hidden="1"/>
    </xf>
    <xf numFmtId="2" fontId="2" fillId="5" borderId="68" xfId="0" applyNumberFormat="1" applyFont="1" applyFill="1" applyBorder="1" applyAlignment="1" applyProtection="1">
      <alignment horizontal="center" vertical="center" wrapText="1"/>
      <protection hidden="1"/>
    </xf>
    <xf numFmtId="166" fontId="2" fillId="5" borderId="66" xfId="0" applyNumberFormat="1" applyFont="1" applyFill="1" applyBorder="1" applyAlignment="1" applyProtection="1">
      <alignment horizontal="center" vertical="center" wrapText="1"/>
      <protection hidden="1"/>
    </xf>
    <xf numFmtId="166" fontId="2" fillId="5" borderId="69" xfId="0" applyNumberFormat="1" applyFont="1" applyFill="1" applyBorder="1" applyAlignment="1" applyProtection="1">
      <alignment horizontal="center" vertical="center"/>
      <protection hidden="1"/>
    </xf>
    <xf numFmtId="0" fontId="2" fillId="2" borderId="6" xfId="0" applyFont="1" applyFill="1" applyBorder="1" applyAlignment="1" applyProtection="1">
      <alignment vertical="center" wrapText="1"/>
      <protection hidden="1"/>
    </xf>
    <xf numFmtId="0" fontId="2" fillId="2" borderId="7" xfId="0" applyFont="1" applyFill="1" applyBorder="1" applyAlignment="1" applyProtection="1">
      <alignment vertical="center" wrapText="1"/>
      <protection hidden="1"/>
    </xf>
    <xf numFmtId="0" fontId="1" fillId="2" borderId="7" xfId="0" applyFont="1" applyFill="1" applyBorder="1" applyAlignment="1" applyProtection="1">
      <alignment vertical="center" wrapText="1"/>
      <protection hidden="1"/>
    </xf>
    <xf numFmtId="0" fontId="1" fillId="2" borderId="8" xfId="0" applyFont="1" applyFill="1" applyBorder="1" applyAlignment="1" applyProtection="1">
      <alignment horizontal="center" vertical="center" wrapText="1"/>
      <protection hidden="1"/>
    </xf>
    <xf numFmtId="164" fontId="2" fillId="2" borderId="70" xfId="0" applyNumberFormat="1" applyFont="1" applyFill="1" applyBorder="1" applyAlignment="1" applyProtection="1">
      <alignment vertical="center" wrapText="1"/>
      <protection hidden="1"/>
    </xf>
    <xf numFmtId="1" fontId="2" fillId="2" borderId="70" xfId="0" applyNumberFormat="1" applyFont="1" applyFill="1" applyBorder="1" applyAlignment="1" applyProtection="1">
      <alignment vertical="center" wrapText="1"/>
      <protection hidden="1"/>
    </xf>
    <xf numFmtId="0" fontId="2" fillId="2" borderId="70" xfId="0" applyNumberFormat="1" applyFont="1" applyFill="1" applyBorder="1" applyAlignment="1" applyProtection="1">
      <alignment horizontal="center" vertical="center" wrapText="1"/>
      <protection hidden="1"/>
    </xf>
    <xf numFmtId="169" fontId="1" fillId="2" borderId="70" xfId="0" applyNumberFormat="1" applyFont="1" applyFill="1" applyBorder="1" applyAlignment="1" applyProtection="1">
      <alignment vertical="center"/>
      <protection hidden="1"/>
    </xf>
    <xf numFmtId="169" fontId="2" fillId="2" borderId="70" xfId="0" applyNumberFormat="1" applyFont="1" applyFill="1" applyBorder="1" applyAlignment="1" applyProtection="1">
      <alignment vertical="center" wrapText="1"/>
      <protection hidden="1"/>
    </xf>
    <xf numFmtId="164" fontId="2" fillId="7" borderId="1" xfId="0" applyNumberFormat="1" applyFont="1" applyFill="1" applyBorder="1" applyAlignment="1" applyProtection="1">
      <alignment horizontal="center" vertical="center" wrapText="1"/>
      <protection hidden="1"/>
    </xf>
    <xf numFmtId="169" fontId="2" fillId="5" borderId="1" xfId="0" applyNumberFormat="1" applyFont="1" applyFill="1" applyBorder="1" applyAlignment="1" applyProtection="1">
      <alignment horizontal="center" vertical="center"/>
      <protection hidden="1"/>
    </xf>
    <xf numFmtId="0" fontId="2" fillId="5" borderId="6" xfId="0" applyFont="1" applyFill="1" applyBorder="1" applyAlignment="1" applyProtection="1">
      <alignment horizontal="left" vertical="center" wrapText="1"/>
      <protection hidden="1"/>
    </xf>
    <xf numFmtId="0" fontId="2" fillId="5" borderId="7" xfId="0" applyFont="1" applyFill="1" applyBorder="1" applyAlignment="1" applyProtection="1">
      <alignment horizontal="left" vertical="center" wrapText="1"/>
      <protection hidden="1"/>
    </xf>
    <xf numFmtId="0" fontId="2" fillId="5" borderId="7" xfId="0" applyFont="1" applyFill="1" applyBorder="1" applyAlignment="1" applyProtection="1">
      <alignment vertical="center" wrapText="1"/>
      <protection hidden="1"/>
    </xf>
    <xf numFmtId="0" fontId="2" fillId="5" borderId="8" xfId="0" applyFont="1" applyFill="1" applyBorder="1" applyAlignment="1" applyProtection="1">
      <alignment vertical="center" wrapText="1"/>
      <protection hidden="1"/>
    </xf>
    <xf numFmtId="14" fontId="2" fillId="5" borderId="31" xfId="0" applyNumberFormat="1" applyFont="1" applyFill="1" applyBorder="1" applyAlignment="1" applyProtection="1">
      <alignment horizontal="center" vertical="center" wrapText="1"/>
      <protection hidden="1"/>
    </xf>
    <xf numFmtId="1" fontId="2" fillId="5" borderId="18" xfId="0" applyNumberFormat="1" applyFont="1" applyFill="1" applyBorder="1" applyAlignment="1" applyProtection="1">
      <alignment horizontal="center" vertical="center" wrapText="1"/>
      <protection hidden="1"/>
    </xf>
    <xf numFmtId="166" fontId="2" fillId="5" borderId="18" xfId="0" applyNumberFormat="1" applyFont="1" applyFill="1" applyBorder="1" applyAlignment="1" applyProtection="1">
      <alignment horizontal="center" vertical="center" wrapText="1"/>
      <protection hidden="1"/>
    </xf>
    <xf numFmtId="165" fontId="2" fillId="5" borderId="18" xfId="0" applyNumberFormat="1" applyFont="1" applyFill="1" applyBorder="1" applyAlignment="1" applyProtection="1">
      <alignment horizontal="center" vertical="center" wrapText="1"/>
      <protection hidden="1"/>
    </xf>
    <xf numFmtId="0" fontId="2" fillId="5" borderId="18" xfId="0" applyFont="1" applyFill="1" applyBorder="1" applyAlignment="1" applyProtection="1">
      <alignment horizontal="center" vertical="center" wrapText="1"/>
      <protection hidden="1"/>
    </xf>
    <xf numFmtId="0" fontId="2" fillId="5" borderId="36" xfId="0" applyFont="1" applyFill="1" applyBorder="1" applyAlignment="1" applyProtection="1">
      <alignment horizontal="center" vertical="center" wrapText="1"/>
      <protection hidden="1"/>
    </xf>
    <xf numFmtId="0" fontId="1" fillId="5" borderId="48" xfId="0" applyFont="1" applyFill="1" applyBorder="1" applyAlignment="1" applyProtection="1">
      <alignment vertical="top" wrapText="1"/>
      <protection hidden="1"/>
    </xf>
    <xf numFmtId="166" fontId="1" fillId="7" borderId="6" xfId="0" applyNumberFormat="1" applyFont="1" applyFill="1" applyBorder="1" applyAlignment="1" applyProtection="1">
      <alignment horizontal="center" vertical="center" wrapText="1"/>
      <protection hidden="1"/>
    </xf>
    <xf numFmtId="0" fontId="37" fillId="2" borderId="49" xfId="0" applyFont="1" applyFill="1" applyBorder="1" applyAlignment="1" applyProtection="1">
      <alignment horizontal="center" vertical="center" wrapText="1"/>
      <protection hidden="1"/>
    </xf>
    <xf numFmtId="0" fontId="20" fillId="19" borderId="44"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14" fontId="20" fillId="15" borderId="48" xfId="0" applyNumberFormat="1" applyFont="1" applyFill="1" applyBorder="1" applyAlignment="1" applyProtection="1">
      <alignment horizontal="center" vertical="center" wrapText="1"/>
      <protection hidden="1"/>
    </xf>
    <xf numFmtId="1" fontId="20" fillId="15" borderId="14" xfId="0" applyNumberFormat="1" applyFont="1" applyFill="1" applyBorder="1" applyAlignment="1" applyProtection="1">
      <alignment vertical="center" wrapText="1"/>
      <protection hidden="1"/>
    </xf>
    <xf numFmtId="1" fontId="20" fillId="15" borderId="14" xfId="0" applyNumberFormat="1" applyFont="1" applyFill="1" applyBorder="1" applyAlignment="1" applyProtection="1">
      <alignment horizontal="center" vertical="center" wrapText="1"/>
      <protection hidden="1"/>
    </xf>
    <xf numFmtId="1" fontId="20" fillId="15" borderId="57" xfId="0" applyNumberFormat="1" applyFont="1" applyFill="1" applyBorder="1" applyAlignment="1" applyProtection="1">
      <alignment horizontal="center" vertical="center" wrapText="1"/>
      <protection hidden="1"/>
    </xf>
    <xf numFmtId="0" fontId="7" fillId="16" borderId="1" xfId="0" applyFont="1" applyFill="1" applyBorder="1" applyAlignment="1" applyProtection="1">
      <alignment horizontal="center" vertical="center" wrapText="1"/>
      <protection hidden="1"/>
    </xf>
    <xf numFmtId="0" fontId="7" fillId="21" borderId="68" xfId="0" applyFont="1" applyFill="1" applyBorder="1" applyAlignment="1" applyProtection="1">
      <alignment horizontal="center" vertical="center" wrapText="1"/>
      <protection hidden="1"/>
    </xf>
    <xf numFmtId="0" fontId="7" fillId="16" borderId="80" xfId="0" applyFont="1" applyFill="1" applyBorder="1" applyAlignment="1" applyProtection="1">
      <alignment horizontal="center" vertical="center" wrapText="1"/>
      <protection hidden="1"/>
    </xf>
    <xf numFmtId="0" fontId="7" fillId="16" borderId="74" xfId="0" applyFont="1" applyFill="1" applyBorder="1" applyAlignment="1" applyProtection="1">
      <alignment horizontal="center" vertical="center" wrapText="1"/>
      <protection hidden="1"/>
    </xf>
    <xf numFmtId="0" fontId="7" fillId="16" borderId="66" xfId="0" applyFont="1" applyFill="1" applyBorder="1" applyAlignment="1" applyProtection="1">
      <alignment horizontal="center" vertical="center" wrapText="1"/>
      <protection hidden="1"/>
    </xf>
    <xf numFmtId="0" fontId="7" fillId="16" borderId="50" xfId="0" applyFont="1" applyFill="1" applyBorder="1" applyAlignment="1" applyProtection="1">
      <alignment horizontal="center" vertical="center" wrapText="1"/>
      <protection hidden="1"/>
    </xf>
    <xf numFmtId="0" fontId="37" fillId="7" borderId="44" xfId="0" applyFont="1" applyFill="1" applyBorder="1" applyAlignment="1" applyProtection="1">
      <alignment horizontal="center" vertical="center" wrapText="1"/>
      <protection hidden="1"/>
    </xf>
    <xf numFmtId="0" fontId="37" fillId="5" borderId="30" xfId="0" applyFont="1" applyFill="1" applyBorder="1" applyAlignment="1" applyProtection="1">
      <alignment horizontal="center" vertical="center" wrapText="1"/>
      <protection hidden="1"/>
    </xf>
    <xf numFmtId="2" fontId="20" fillId="7" borderId="18" xfId="0" applyNumberFormat="1" applyFont="1" applyFill="1" applyBorder="1" applyAlignment="1" applyProtection="1">
      <alignment horizontal="center" vertical="center" wrapText="1"/>
      <protection hidden="1"/>
    </xf>
    <xf numFmtId="0" fontId="37" fillId="7" borderId="36" xfId="0" applyFont="1" applyFill="1" applyBorder="1" applyAlignment="1" applyProtection="1">
      <alignment horizontal="center" vertical="center" wrapText="1"/>
      <protection hidden="1"/>
    </xf>
    <xf numFmtId="0" fontId="7" fillId="5" borderId="1" xfId="0" applyFont="1" applyFill="1" applyBorder="1" applyAlignment="1" applyProtection="1">
      <alignment horizontal="center" vertical="center" wrapText="1"/>
      <protection hidden="1"/>
    </xf>
    <xf numFmtId="164" fontId="20" fillId="7" borderId="1" xfId="0" applyNumberFormat="1" applyFont="1" applyFill="1" applyBorder="1" applyAlignment="1" applyProtection="1">
      <alignment horizontal="center" vertical="center" wrapText="1"/>
      <protection hidden="1"/>
    </xf>
    <xf numFmtId="1" fontId="20" fillId="7" borderId="1" xfId="0" applyNumberFormat="1" applyFont="1" applyFill="1" applyBorder="1" applyAlignment="1" applyProtection="1">
      <alignment horizontal="center" vertical="center" wrapText="1"/>
      <protection hidden="1"/>
    </xf>
    <xf numFmtId="169" fontId="40" fillId="5" borderId="1" xfId="0" applyNumberFormat="1" applyFont="1" applyFill="1" applyBorder="1" applyAlignment="1" applyProtection="1">
      <alignment horizontal="center" vertical="center"/>
      <protection hidden="1"/>
    </xf>
    <xf numFmtId="169" fontId="40" fillId="2" borderId="49" xfId="0" applyNumberFormat="1" applyFont="1" applyFill="1" applyBorder="1" applyAlignment="1" applyProtection="1">
      <alignment vertical="center"/>
      <protection hidden="1"/>
    </xf>
    <xf numFmtId="169" fontId="40" fillId="2" borderId="49" xfId="0" applyNumberFormat="1" applyFont="1" applyFill="1" applyBorder="1" applyAlignment="1" applyProtection="1">
      <alignment vertical="center" wrapText="1"/>
      <protection hidden="1"/>
    </xf>
    <xf numFmtId="169" fontId="66" fillId="2" borderId="49" xfId="0" applyNumberFormat="1" applyFont="1" applyFill="1" applyBorder="1" applyAlignment="1" applyProtection="1">
      <alignment vertical="center" wrapText="1"/>
      <protection hidden="1"/>
    </xf>
    <xf numFmtId="169" fontId="20" fillId="2" borderId="38" xfId="0" applyNumberFormat="1" applyFont="1" applyFill="1" applyBorder="1" applyAlignment="1" applyProtection="1">
      <alignment horizontal="center" vertical="center"/>
      <protection hidden="1"/>
    </xf>
    <xf numFmtId="0" fontId="30" fillId="5" borderId="14" xfId="0" applyFont="1" applyFill="1" applyBorder="1" applyAlignment="1" applyProtection="1">
      <alignment vertical="center" wrapText="1"/>
      <protection hidden="1"/>
    </xf>
    <xf numFmtId="0" fontId="3" fillId="5" borderId="14" xfId="0" applyFont="1" applyFill="1" applyBorder="1" applyAlignment="1" applyProtection="1">
      <alignment horizontal="center" vertical="center" wrapText="1"/>
      <protection hidden="1"/>
    </xf>
    <xf numFmtId="0" fontId="3" fillId="5" borderId="14" xfId="0" applyFont="1" applyFill="1" applyBorder="1" applyAlignment="1" applyProtection="1">
      <alignment vertical="center" wrapText="1"/>
      <protection hidden="1"/>
    </xf>
    <xf numFmtId="0" fontId="30" fillId="0" borderId="10" xfId="0" applyFont="1" applyFill="1" applyBorder="1" applyAlignment="1" applyProtection="1">
      <alignment horizontal="left" vertical="center" wrapText="1"/>
      <protection hidden="1"/>
    </xf>
    <xf numFmtId="0" fontId="30" fillId="0" borderId="16" xfId="0" applyFont="1" applyFill="1" applyBorder="1" applyAlignment="1" applyProtection="1">
      <alignment horizontal="left" vertical="center" wrapText="1"/>
      <protection hidden="1"/>
    </xf>
    <xf numFmtId="0" fontId="19" fillId="2" borderId="13" xfId="0" applyFont="1" applyFill="1" applyBorder="1" applyAlignment="1" applyProtection="1">
      <alignment horizontal="center" vertical="center" wrapText="1"/>
      <protection hidden="1"/>
    </xf>
    <xf numFmtId="0" fontId="35" fillId="2" borderId="13" xfId="0" applyFont="1" applyFill="1" applyBorder="1" applyAlignment="1" applyProtection="1">
      <alignment horizontal="center" vertical="center" wrapText="1"/>
      <protection hidden="1"/>
    </xf>
    <xf numFmtId="0" fontId="42" fillId="2" borderId="63" xfId="0" applyFont="1" applyFill="1" applyBorder="1" applyAlignment="1" applyProtection="1">
      <alignment horizontal="center" vertical="center" wrapText="1"/>
      <protection hidden="1"/>
    </xf>
    <xf numFmtId="0" fontId="24" fillId="5" borderId="22" xfId="0" applyFont="1" applyFill="1" applyBorder="1" applyAlignment="1" applyProtection="1">
      <alignment horizontal="center" vertical="center" wrapText="1"/>
      <protection hidden="1"/>
    </xf>
    <xf numFmtId="0" fontId="24" fillId="5" borderId="20" xfId="0" applyFont="1" applyFill="1" applyBorder="1" applyAlignment="1" applyProtection="1">
      <alignment horizontal="center" vertical="center" wrapText="1"/>
      <protection hidden="1"/>
    </xf>
    <xf numFmtId="0" fontId="7" fillId="5" borderId="48" xfId="0" applyFont="1" applyFill="1" applyBorder="1" applyAlignment="1" applyProtection="1">
      <alignment horizontal="left" vertical="center" wrapText="1"/>
      <protection hidden="1"/>
    </xf>
    <xf numFmtId="0" fontId="7" fillId="5" borderId="14" xfId="0" applyFont="1" applyFill="1" applyBorder="1" applyAlignment="1" applyProtection="1">
      <alignment horizontal="left" vertical="center" wrapText="1"/>
      <protection hidden="1"/>
    </xf>
    <xf numFmtId="0" fontId="7" fillId="5" borderId="57" xfId="0" applyFont="1" applyFill="1" applyBorder="1" applyAlignment="1" applyProtection="1">
      <alignment horizontal="left" vertical="center" wrapText="1"/>
      <protection hidden="1"/>
    </xf>
    <xf numFmtId="0" fontId="45" fillId="2" borderId="52" xfId="0" applyFont="1" applyFill="1" applyBorder="1" applyAlignment="1" applyProtection="1">
      <alignment horizontal="center" vertical="center" wrapText="1"/>
      <protection hidden="1"/>
    </xf>
    <xf numFmtId="0" fontId="45" fillId="2" borderId="13" xfId="0" applyFont="1" applyFill="1" applyBorder="1" applyAlignment="1" applyProtection="1">
      <alignment horizontal="center" vertical="center" wrapText="1"/>
      <protection hidden="1"/>
    </xf>
    <xf numFmtId="0" fontId="20" fillId="12" borderId="57"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166" fontId="3" fillId="6" borderId="48" xfId="0" applyNumberFormat="1" applyFont="1" applyFill="1" applyBorder="1" applyAlignment="1" applyProtection="1">
      <alignment horizontal="center" vertical="center"/>
      <protection locked="0" hidden="1"/>
    </xf>
    <xf numFmtId="166" fontId="3" fillId="6" borderId="14" xfId="0" applyNumberFormat="1" applyFont="1" applyFill="1" applyBorder="1" applyAlignment="1" applyProtection="1">
      <alignment horizontal="center" vertical="center"/>
      <protection locked="0" hidden="1"/>
    </xf>
    <xf numFmtId="166" fontId="3" fillId="6" borderId="57" xfId="0" applyNumberFormat="1" applyFont="1" applyFill="1" applyBorder="1" applyAlignment="1" applyProtection="1">
      <alignment horizontal="center" vertical="center"/>
      <protection locked="0" hidden="1"/>
    </xf>
    <xf numFmtId="0" fontId="30" fillId="5" borderId="68" xfId="0" applyFont="1" applyFill="1" applyBorder="1" applyAlignment="1" applyProtection="1">
      <alignment horizontal="center" vertical="center" wrapText="1"/>
      <protection hidden="1"/>
    </xf>
    <xf numFmtId="0" fontId="30" fillId="5" borderId="66" xfId="0" applyFont="1" applyFill="1" applyBorder="1" applyAlignment="1" applyProtection="1">
      <alignment horizontal="center" vertical="center" wrapText="1"/>
      <protection hidden="1"/>
    </xf>
    <xf numFmtId="0" fontId="2" fillId="0" borderId="0" xfId="0" applyFont="1" applyFill="1" applyAlignment="1" applyProtection="1">
      <alignment horizontal="left" vertical="center" wrapText="1"/>
      <protection hidden="1"/>
    </xf>
    <xf numFmtId="0" fontId="2" fillId="0" borderId="0" xfId="0" applyFont="1" applyFill="1" applyAlignment="1" applyProtection="1">
      <alignment horizontal="justify" vertical="justify" wrapText="1"/>
      <protection hidden="1"/>
    </xf>
    <xf numFmtId="0" fontId="7" fillId="0" borderId="71" xfId="0" applyFont="1" applyFill="1" applyBorder="1" applyAlignment="1" applyProtection="1">
      <alignment horizontal="centerContinuous" vertical="center" wrapText="1"/>
      <protection hidden="1"/>
    </xf>
    <xf numFmtId="0" fontId="58" fillId="0" borderId="0" xfId="0" applyFont="1" applyFill="1" applyProtection="1">
      <protection hidden="1"/>
    </xf>
    <xf numFmtId="0" fontId="61" fillId="2" borderId="0" xfId="0" applyFont="1" applyFill="1" applyAlignment="1" applyProtection="1">
      <alignment horizontal="justify" vertical="center" wrapText="1"/>
      <protection hidden="1"/>
    </xf>
    <xf numFmtId="0" fontId="61" fillId="2" borderId="0" xfId="0" applyFont="1" applyFill="1" applyAlignment="1" applyProtection="1">
      <alignment horizontal="justify" vertical="justify" wrapText="1"/>
      <protection hidden="1"/>
    </xf>
    <xf numFmtId="0" fontId="61" fillId="14" borderId="0" xfId="0" applyFont="1" applyFill="1" applyProtection="1">
      <protection hidden="1"/>
    </xf>
    <xf numFmtId="0" fontId="58" fillId="14" borderId="0" xfId="0" applyFont="1" applyFill="1" applyProtection="1">
      <protection hidden="1"/>
    </xf>
    <xf numFmtId="0" fontId="61" fillId="2" borderId="0" xfId="0" applyFont="1" applyFill="1" applyAlignment="1" applyProtection="1">
      <alignment horizontal="justify" vertical="justify" wrapText="1"/>
      <protection locked="0" hidden="1"/>
    </xf>
    <xf numFmtId="0" fontId="61" fillId="2" borderId="0" xfId="0" applyFont="1" applyFill="1" applyAlignment="1" applyProtection="1">
      <alignment horizontal="justify" wrapText="1"/>
      <protection locked="0" hidden="1"/>
    </xf>
    <xf numFmtId="0" fontId="16" fillId="0" borderId="0" xfId="0" applyFont="1" applyFill="1" applyAlignment="1" applyProtection="1">
      <alignment vertical="center" wrapText="1"/>
      <protection hidden="1"/>
    </xf>
    <xf numFmtId="0" fontId="61" fillId="14" borderId="0" xfId="0" applyFont="1" applyFill="1" applyAlignment="1" applyProtection="1">
      <alignment vertical="justify" wrapText="1"/>
      <protection hidden="1"/>
    </xf>
    <xf numFmtId="0" fontId="86" fillId="14" borderId="0" xfId="0" applyFont="1" applyFill="1" applyAlignment="1" applyProtection="1">
      <alignment horizontal="left" vertical="justify" wrapText="1"/>
      <protection hidden="1"/>
    </xf>
    <xf numFmtId="0" fontId="61" fillId="0" borderId="0" xfId="0" applyFont="1" applyAlignment="1" applyProtection="1">
      <alignment horizontal="left" vertical="justify" wrapText="1"/>
      <protection hidden="1"/>
    </xf>
    <xf numFmtId="0" fontId="86" fillId="0" borderId="0" xfId="0" applyFont="1" applyAlignment="1" applyProtection="1">
      <alignment horizontal="left" vertical="justify" wrapText="1"/>
      <protection hidden="1"/>
    </xf>
    <xf numFmtId="0" fontId="61" fillId="0" borderId="0" xfId="0" applyFont="1" applyFill="1" applyAlignment="1" applyProtection="1">
      <alignment vertical="justify" wrapText="1"/>
      <protection hidden="1"/>
    </xf>
    <xf numFmtId="0" fontId="58" fillId="0" borderId="0" xfId="0" applyFont="1" applyAlignment="1" applyProtection="1">
      <alignment vertical="justify" wrapText="1"/>
      <protection hidden="1"/>
    </xf>
    <xf numFmtId="0" fontId="61" fillId="0" borderId="0" xfId="0" applyFont="1" applyAlignment="1" applyProtection="1">
      <alignment vertical="justify" wrapText="1"/>
      <protection hidden="1"/>
    </xf>
    <xf numFmtId="0" fontId="61" fillId="0" borderId="0" xfId="0" applyFont="1" applyAlignment="1" applyProtection="1">
      <alignment horizontal="left"/>
      <protection hidden="1"/>
    </xf>
    <xf numFmtId="0" fontId="58" fillId="0" borderId="0" xfId="0" applyFont="1" applyAlignment="1" applyProtection="1">
      <alignment horizontal="left"/>
      <protection hidden="1"/>
    </xf>
    <xf numFmtId="0" fontId="61" fillId="2" borderId="0" xfId="0" applyFont="1" applyFill="1" applyBorder="1" applyAlignment="1" applyProtection="1">
      <alignment horizontal="justify" vertical="center" wrapText="1"/>
      <protection locked="0" hidden="1"/>
    </xf>
    <xf numFmtId="0" fontId="1" fillId="0" borderId="0" xfId="0" applyFont="1" applyFill="1" applyBorder="1" applyAlignment="1" applyProtection="1">
      <alignment horizontal="left" vertical="center" wrapText="1"/>
      <protection hidden="1"/>
    </xf>
    <xf numFmtId="182" fontId="39" fillId="0" borderId="71" xfId="0" applyNumberFormat="1" applyFont="1" applyBorder="1" applyAlignment="1" applyProtection="1">
      <alignment horizontal="center" vertical="center" wrapText="1"/>
      <protection hidden="1"/>
    </xf>
    <xf numFmtId="165" fontId="39" fillId="2" borderId="1" xfId="0" applyNumberFormat="1" applyFont="1" applyFill="1" applyBorder="1" applyAlignment="1" applyProtection="1">
      <alignment horizontal="center" vertical="center" wrapText="1"/>
      <protection hidden="1"/>
    </xf>
    <xf numFmtId="183" fontId="61" fillId="0" borderId="0" xfId="0" applyNumberFormat="1" applyFont="1" applyFill="1" applyAlignment="1" applyProtection="1">
      <alignment horizontal="left" vertical="center" wrapText="1"/>
      <protection hidden="1"/>
    </xf>
    <xf numFmtId="184" fontId="61" fillId="0" borderId="0" xfId="0" applyNumberFormat="1" applyFont="1" applyFill="1" applyAlignment="1" applyProtection="1">
      <alignment horizontal="left" vertical="center" wrapText="1"/>
      <protection hidden="1"/>
    </xf>
    <xf numFmtId="0" fontId="14" fillId="5" borderId="58" xfId="0" applyFont="1" applyFill="1" applyBorder="1" applyAlignment="1" applyProtection="1">
      <alignment horizontal="center" vertical="center" wrapText="1"/>
      <protection hidden="1"/>
    </xf>
    <xf numFmtId="0" fontId="14" fillId="5" borderId="35" xfId="0" applyFont="1" applyFill="1" applyBorder="1" applyAlignment="1" applyProtection="1">
      <alignment horizontal="center" vertical="center" wrapText="1"/>
      <protection hidden="1"/>
    </xf>
    <xf numFmtId="0" fontId="49" fillId="5" borderId="56" xfId="0" applyFont="1" applyFill="1" applyBorder="1" applyAlignment="1" applyProtection="1">
      <alignment horizontal="center" vertical="center" wrapText="1"/>
      <protection hidden="1"/>
    </xf>
    <xf numFmtId="167" fontId="5" fillId="7" borderId="41" xfId="0" applyNumberFormat="1" applyFont="1" applyFill="1" applyBorder="1" applyAlignment="1" applyProtection="1">
      <alignment horizontal="center" vertical="center" wrapText="1"/>
      <protection hidden="1"/>
    </xf>
    <xf numFmtId="2" fontId="5" fillId="7" borderId="34" xfId="0" applyNumberFormat="1" applyFont="1" applyFill="1" applyBorder="1" applyAlignment="1" applyProtection="1">
      <alignment horizontal="center" vertical="center" wrapText="1"/>
      <protection hidden="1"/>
    </xf>
    <xf numFmtId="165" fontId="5" fillId="7" borderId="32" xfId="0" applyNumberFormat="1" applyFont="1" applyFill="1" applyBorder="1" applyAlignment="1" applyProtection="1">
      <alignment horizontal="center" vertical="center" wrapText="1"/>
      <protection hidden="1"/>
    </xf>
    <xf numFmtId="164" fontId="5" fillId="7" borderId="34" xfId="0" applyNumberFormat="1" applyFont="1" applyFill="1" applyBorder="1" applyAlignment="1" applyProtection="1">
      <alignment horizontal="center" vertical="center" wrapText="1"/>
      <protection hidden="1"/>
    </xf>
    <xf numFmtId="2" fontId="5" fillId="7" borderId="43" xfId="0" applyNumberFormat="1" applyFont="1" applyFill="1" applyBorder="1" applyAlignment="1" applyProtection="1">
      <alignment horizontal="center" vertical="center" wrapText="1"/>
      <protection hidden="1"/>
    </xf>
    <xf numFmtId="0" fontId="7" fillId="2" borderId="1" xfId="0" applyFont="1" applyFill="1" applyBorder="1" applyAlignment="1" applyProtection="1">
      <alignment horizontal="center" vertical="center" wrapText="1"/>
      <protection hidden="1"/>
    </xf>
    <xf numFmtId="0" fontId="46" fillId="5" borderId="21" xfId="0" applyFont="1" applyFill="1" applyBorder="1" applyAlignment="1" applyProtection="1">
      <alignment horizontal="center" vertical="center" wrapText="1"/>
      <protection hidden="1"/>
    </xf>
    <xf numFmtId="182" fontId="10" fillId="14" borderId="39" xfId="0" applyNumberFormat="1" applyFont="1" applyFill="1" applyBorder="1" applyAlignment="1" applyProtection="1">
      <alignment horizontal="center" vertical="center" wrapText="1"/>
      <protection hidden="1"/>
    </xf>
    <xf numFmtId="182" fontId="10" fillId="14" borderId="32" xfId="0" applyNumberFormat="1" applyFont="1" applyFill="1" applyBorder="1" applyAlignment="1" applyProtection="1">
      <alignment horizontal="center" vertical="center" wrapText="1"/>
      <protection hidden="1"/>
    </xf>
    <xf numFmtId="0" fontId="2" fillId="7" borderId="9" xfId="0" applyFont="1" applyFill="1" applyBorder="1" applyAlignment="1" applyProtection="1">
      <alignment horizontal="center" vertical="center"/>
      <protection hidden="1"/>
    </xf>
    <xf numFmtId="0" fontId="61" fillId="5" borderId="72" xfId="0" applyFont="1" applyFill="1" applyBorder="1" applyAlignment="1" applyProtection="1">
      <alignment horizontal="center" vertical="center"/>
      <protection hidden="1"/>
    </xf>
    <xf numFmtId="14" fontId="61" fillId="7" borderId="9" xfId="0" applyNumberFormat="1" applyFont="1" applyFill="1" applyBorder="1" applyAlignment="1" applyProtection="1">
      <alignment horizontal="center" vertical="center" wrapText="1"/>
      <protection hidden="1"/>
    </xf>
    <xf numFmtId="170" fontId="61" fillId="7" borderId="9" xfId="0" applyNumberFormat="1" applyFont="1" applyFill="1" applyBorder="1" applyAlignment="1" applyProtection="1">
      <alignment horizontal="center" vertical="center" wrapText="1"/>
      <protection hidden="1"/>
    </xf>
    <xf numFmtId="167" fontId="20" fillId="15" borderId="40" xfId="0" applyNumberFormat="1" applyFont="1" applyFill="1" applyBorder="1" applyAlignment="1" applyProtection="1">
      <alignment horizontal="center" vertical="center" wrapText="1"/>
      <protection hidden="1"/>
    </xf>
    <xf numFmtId="0" fontId="7" fillId="14" borderId="20" xfId="0" applyFont="1" applyFill="1" applyBorder="1" applyAlignment="1" applyProtection="1">
      <alignment horizontal="center" vertical="center" wrapText="1"/>
      <protection hidden="1"/>
    </xf>
    <xf numFmtId="0" fontId="7" fillId="14" borderId="7" xfId="0" applyFont="1" applyFill="1" applyBorder="1" applyAlignment="1" applyProtection="1">
      <alignment vertical="center" wrapText="1"/>
      <protection hidden="1"/>
    </xf>
    <xf numFmtId="0" fontId="7" fillId="14" borderId="8" xfId="0" applyFont="1" applyFill="1" applyBorder="1" applyAlignment="1" applyProtection="1">
      <alignment vertical="center" wrapText="1"/>
      <protection hidden="1"/>
    </xf>
    <xf numFmtId="166" fontId="7" fillId="14" borderId="1" xfId="0" applyNumberFormat="1" applyFont="1" applyFill="1" applyBorder="1" applyAlignment="1" applyProtection="1">
      <alignment horizontal="center" vertical="center" wrapText="1"/>
      <protection hidden="1"/>
    </xf>
    <xf numFmtId="0" fontId="20" fillId="5" borderId="9" xfId="0" applyFont="1" applyFill="1" applyBorder="1" applyAlignment="1" applyProtection="1">
      <alignment horizontal="center" vertical="center" wrapText="1"/>
      <protection hidden="1"/>
    </xf>
    <xf numFmtId="0" fontId="20" fillId="5" borderId="44" xfId="0" applyFont="1" applyFill="1" applyBorder="1" applyAlignment="1" applyProtection="1">
      <alignment horizontal="center" vertical="center" wrapText="1"/>
      <protection hidden="1"/>
    </xf>
    <xf numFmtId="0" fontId="20" fillId="7" borderId="44" xfId="0" applyFont="1" applyFill="1" applyBorder="1" applyAlignment="1" applyProtection="1">
      <alignment horizontal="center" vertical="center" wrapText="1"/>
      <protection hidden="1"/>
    </xf>
    <xf numFmtId="164" fontId="20" fillId="19" borderId="9" xfId="0" applyNumberFormat="1" applyFont="1" applyFill="1" applyBorder="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61" fillId="2" borderId="0" xfId="0" applyFont="1" applyFill="1" applyAlignment="1" applyProtection="1">
      <alignment horizontal="justify" vertical="center" wrapText="1"/>
      <protection locked="0" hidden="1"/>
    </xf>
    <xf numFmtId="0" fontId="61" fillId="2" borderId="0" xfId="0" applyFont="1" applyFill="1" applyBorder="1" applyAlignment="1" applyProtection="1">
      <alignment horizontal="justify" vertical="center" wrapText="1"/>
      <protection hidden="1"/>
    </xf>
    <xf numFmtId="0" fontId="61" fillId="2" borderId="0" xfId="0" applyFont="1" applyFill="1" applyAlignment="1" applyProtection="1">
      <alignment horizontal="justify" wrapText="1"/>
      <protection hidden="1"/>
    </xf>
    <xf numFmtId="0" fontId="2" fillId="0" borderId="0" xfId="0" applyFont="1" applyAlignment="1" applyProtection="1">
      <alignment horizontal="left" vertical="center" wrapText="1"/>
      <protection hidden="1"/>
    </xf>
    <xf numFmtId="0" fontId="9" fillId="0" borderId="0" xfId="0" applyFont="1" applyAlignment="1" applyProtection="1">
      <alignment horizontal="left" vertical="center" wrapText="1"/>
      <protection hidden="1"/>
    </xf>
    <xf numFmtId="14" fontId="20" fillId="0" borderId="40" xfId="0" applyNumberFormat="1" applyFont="1" applyBorder="1" applyAlignment="1" applyProtection="1">
      <alignment horizontal="center" vertical="center" wrapText="1"/>
      <protection hidden="1"/>
    </xf>
    <xf numFmtId="1" fontId="1" fillId="0" borderId="0" xfId="0" applyNumberFormat="1" applyFont="1" applyAlignment="1" applyProtection="1">
      <alignment horizontal="center"/>
      <protection hidden="1"/>
    </xf>
    <xf numFmtId="0" fontId="2" fillId="0" borderId="0" xfId="0" applyFont="1" applyBorder="1" applyAlignment="1" applyProtection="1">
      <alignment horizontal="left" vertical="center" wrapText="1"/>
      <protection hidden="1"/>
    </xf>
    <xf numFmtId="0" fontId="2" fillId="0" borderId="0" xfId="0" applyFont="1" applyAlignment="1" applyProtection="1">
      <alignment horizontal="left" vertical="justify" wrapText="1"/>
      <protection hidden="1"/>
    </xf>
    <xf numFmtId="0" fontId="2" fillId="0" borderId="0" xfId="0" applyFont="1" applyAlignment="1" applyProtection="1">
      <alignment horizontal="left"/>
      <protection hidden="1"/>
    </xf>
    <xf numFmtId="0" fontId="2"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1" fillId="0" borderId="0"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2" fillId="0" borderId="0" xfId="0" applyFont="1" applyAlignment="1" applyProtection="1">
      <alignment horizontal="justify" vertical="justify" wrapText="1"/>
      <protection hidden="1"/>
    </xf>
    <xf numFmtId="0" fontId="7" fillId="0" borderId="6"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1" fillId="0" borderId="0" xfId="0" applyFont="1" applyFill="1" applyBorder="1" applyAlignment="1" applyProtection="1">
      <alignment horizontal="left" vertical="center" wrapText="1"/>
      <protection hidden="1"/>
    </xf>
    <xf numFmtId="2" fontId="39" fillId="14" borderId="40" xfId="0" applyNumberFormat="1" applyFont="1" applyFill="1" applyBorder="1" applyAlignment="1" applyProtection="1">
      <alignment horizontal="center" vertical="center"/>
      <protection hidden="1"/>
    </xf>
    <xf numFmtId="0" fontId="61" fillId="0" borderId="10" xfId="0" applyFont="1" applyBorder="1" applyAlignment="1" applyProtection="1">
      <alignment horizontal="center"/>
      <protection hidden="1"/>
    </xf>
    <xf numFmtId="0" fontId="39" fillId="0" borderId="49" xfId="0" applyFont="1" applyBorder="1" applyAlignment="1" applyProtection="1">
      <alignment horizontal="center"/>
      <protection hidden="1"/>
    </xf>
    <xf numFmtId="0" fontId="61" fillId="0" borderId="47" xfId="0" applyFont="1" applyBorder="1" applyAlignment="1" applyProtection="1">
      <alignment horizontal="center"/>
      <protection hidden="1"/>
    </xf>
    <xf numFmtId="0" fontId="39" fillId="0" borderId="5" xfId="0" applyFont="1" applyFill="1" applyBorder="1" applyAlignment="1" applyProtection="1">
      <alignment horizontal="center"/>
      <protection hidden="1"/>
    </xf>
    <xf numFmtId="0" fontId="39" fillId="0" borderId="5" xfId="0" applyFont="1" applyBorder="1" applyAlignment="1" applyProtection="1">
      <alignment horizontal="center"/>
      <protection hidden="1"/>
    </xf>
    <xf numFmtId="0" fontId="39" fillId="0" borderId="38" xfId="0" applyFont="1" applyBorder="1" applyAlignment="1" applyProtection="1">
      <alignment horizontal="center"/>
      <protection hidden="1"/>
    </xf>
    <xf numFmtId="2" fontId="30" fillId="5" borderId="17" xfId="0" applyNumberFormat="1" applyFont="1" applyFill="1" applyBorder="1" applyAlignment="1" applyProtection="1">
      <alignment horizontal="center" vertical="center" wrapText="1"/>
      <protection hidden="1"/>
    </xf>
    <xf numFmtId="166" fontId="30" fillId="5" borderId="14" xfId="0"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center" vertical="center" wrapText="1"/>
      <protection hidden="1"/>
    </xf>
    <xf numFmtId="11" fontId="30" fillId="5" borderId="14" xfId="0" applyNumberFormat="1" applyFont="1" applyFill="1" applyBorder="1" applyAlignment="1" applyProtection="1">
      <alignment horizontal="center" vertical="center" wrapText="1"/>
      <protection hidden="1"/>
    </xf>
    <xf numFmtId="0" fontId="24" fillId="5" borderId="14" xfId="0" applyFont="1" applyFill="1" applyBorder="1" applyAlignment="1" applyProtection="1">
      <alignment horizontal="center" vertical="center" wrapText="1"/>
      <protection hidden="1"/>
    </xf>
    <xf numFmtId="0" fontId="30" fillId="5" borderId="57" xfId="0" applyFont="1" applyFill="1" applyBorder="1" applyAlignment="1" applyProtection="1">
      <alignment horizontal="center" vertical="center" wrapText="1"/>
      <protection hidden="1"/>
    </xf>
    <xf numFmtId="165" fontId="20" fillId="12" borderId="18" xfId="0" applyNumberFormat="1" applyFont="1" applyFill="1" applyBorder="1" applyAlignment="1" applyProtection="1">
      <alignment horizontal="center" vertical="center" wrapText="1"/>
      <protection hidden="1"/>
    </xf>
    <xf numFmtId="165" fontId="20" fillId="12" borderId="9" xfId="0" applyNumberFormat="1" applyFont="1" applyFill="1" applyBorder="1" applyAlignment="1" applyProtection="1">
      <alignment horizontal="center" vertical="center" wrapText="1"/>
      <protection hidden="1"/>
    </xf>
    <xf numFmtId="165" fontId="20" fillId="12" borderId="44" xfId="0" applyNumberFormat="1" applyFont="1" applyFill="1" applyBorder="1" applyAlignment="1" applyProtection="1">
      <alignment horizontal="center" vertical="center" wrapText="1"/>
      <protection hidden="1"/>
    </xf>
    <xf numFmtId="166" fontId="1" fillId="5" borderId="3" xfId="0" applyNumberFormat="1" applyFont="1" applyFill="1" applyBorder="1" applyAlignment="1" applyProtection="1">
      <alignment horizontal="center" vertical="center" wrapText="1"/>
      <protection hidden="1"/>
    </xf>
    <xf numFmtId="0" fontId="1" fillId="5" borderId="14" xfId="0" applyFont="1" applyFill="1" applyBorder="1" applyAlignment="1" applyProtection="1">
      <alignment horizontal="center" vertical="center" wrapText="1"/>
      <protection hidden="1"/>
    </xf>
    <xf numFmtId="165" fontId="1" fillId="5" borderId="14" xfId="0" applyNumberFormat="1" applyFont="1" applyFill="1" applyBorder="1" applyAlignment="1" applyProtection="1">
      <alignment horizontal="center" vertical="center" wrapText="1"/>
      <protection hidden="1"/>
    </xf>
    <xf numFmtId="169" fontId="20" fillId="19" borderId="40" xfId="0" applyNumberFormat="1" applyFont="1" applyFill="1" applyBorder="1" applyAlignment="1" applyProtection="1">
      <alignment horizontal="center" vertical="center" wrapText="1"/>
      <protection hidden="1"/>
    </xf>
    <xf numFmtId="0" fontId="2" fillId="0" borderId="0" xfId="0" applyFont="1" applyAlignment="1" applyProtection="1">
      <alignment horizontal="center" vertical="center"/>
      <protection hidden="1"/>
    </xf>
    <xf numFmtId="169" fontId="37" fillId="2" borderId="23" xfId="0" applyNumberFormat="1" applyFont="1" applyFill="1" applyBorder="1" applyAlignment="1" applyProtection="1">
      <alignment horizontal="center" vertical="center" wrapText="1"/>
      <protection hidden="1"/>
    </xf>
    <xf numFmtId="169" fontId="39" fillId="7" borderId="40" xfId="0" applyNumberFormat="1" applyFont="1" applyFill="1" applyBorder="1" applyAlignment="1" applyProtection="1">
      <alignment horizontal="center" vertical="center" wrapText="1"/>
      <protection hidden="1"/>
    </xf>
    <xf numFmtId="169" fontId="2" fillId="5" borderId="18" xfId="0" applyNumberFormat="1" applyFont="1" applyFill="1" applyBorder="1" applyAlignment="1" applyProtection="1">
      <alignment horizontal="center" vertical="center" wrapText="1"/>
      <protection hidden="1"/>
    </xf>
    <xf numFmtId="169" fontId="2" fillId="2" borderId="0" xfId="0" applyNumberFormat="1" applyFont="1" applyFill="1" applyBorder="1" applyAlignment="1" applyProtection="1">
      <alignment horizontal="center" vertical="center" wrapText="1"/>
      <protection hidden="1"/>
    </xf>
    <xf numFmtId="169" fontId="2" fillId="5" borderId="10" xfId="0" applyNumberFormat="1" applyFont="1" applyFill="1" applyBorder="1" applyAlignment="1" applyProtection="1">
      <alignment horizontal="center" vertical="center" wrapText="1"/>
      <protection hidden="1"/>
    </xf>
    <xf numFmtId="2" fontId="7" fillId="33" borderId="37" xfId="0" applyNumberFormat="1" applyFont="1" applyFill="1" applyBorder="1" applyAlignment="1" applyProtection="1">
      <alignment horizontal="center" vertical="center" wrapText="1"/>
      <protection hidden="1"/>
    </xf>
    <xf numFmtId="0" fontId="20" fillId="14" borderId="44" xfId="0" applyFont="1" applyFill="1" applyBorder="1" applyAlignment="1" applyProtection="1">
      <alignment horizontal="center" vertical="center" wrapText="1"/>
      <protection hidden="1"/>
    </xf>
    <xf numFmtId="0" fontId="2" fillId="0" borderId="1" xfId="0" applyFont="1" applyFill="1" applyBorder="1" applyAlignment="1" applyProtection="1">
      <alignment horizontal="center" vertical="center" wrapText="1"/>
      <protection hidden="1"/>
    </xf>
    <xf numFmtId="0" fontId="2" fillId="2" borderId="1" xfId="0" applyFont="1" applyFill="1" applyBorder="1" applyAlignment="1" applyProtection="1">
      <alignment horizontal="center" vertical="center" wrapText="1"/>
      <protection hidden="1"/>
    </xf>
    <xf numFmtId="166" fontId="20" fillId="2" borderId="1" xfId="0" applyNumberFormat="1" applyFont="1" applyFill="1" applyBorder="1" applyAlignment="1" applyProtection="1">
      <alignment horizontal="center" vertical="center" wrapText="1"/>
      <protection hidden="1"/>
    </xf>
    <xf numFmtId="185" fontId="39" fillId="0" borderId="71" xfId="0" applyNumberFormat="1" applyFont="1" applyBorder="1" applyAlignment="1" applyProtection="1">
      <alignment horizontal="center" vertical="center" wrapText="1"/>
      <protection hidden="1"/>
    </xf>
    <xf numFmtId="186" fontId="39" fillId="0" borderId="71" xfId="0" applyNumberFormat="1" applyFont="1" applyBorder="1" applyAlignment="1" applyProtection="1">
      <alignment horizontal="center" vertical="center" wrapText="1"/>
      <protection hidden="1"/>
    </xf>
    <xf numFmtId="0" fontId="1" fillId="14" borderId="69" xfId="0" applyFont="1" applyFill="1" applyBorder="1" applyAlignment="1" applyProtection="1">
      <alignment horizontal="center" wrapText="1"/>
      <protection hidden="1"/>
    </xf>
    <xf numFmtId="0" fontId="40" fillId="14" borderId="68" xfId="0" applyFont="1" applyFill="1" applyBorder="1" applyAlignment="1" applyProtection="1">
      <alignment horizontal="center" wrapText="1"/>
      <protection hidden="1"/>
    </xf>
    <xf numFmtId="0" fontId="40" fillId="14" borderId="66" xfId="0" applyFont="1" applyFill="1" applyBorder="1" applyAlignment="1" applyProtection="1">
      <alignment horizontal="center" wrapText="1"/>
      <protection hidden="1"/>
    </xf>
    <xf numFmtId="0" fontId="40" fillId="14" borderId="69" xfId="0" applyFont="1" applyFill="1" applyBorder="1" applyAlignment="1" applyProtection="1">
      <alignment horizontal="center" wrapText="1"/>
      <protection hidden="1"/>
    </xf>
    <xf numFmtId="170" fontId="20" fillId="33" borderId="9" xfId="0" applyNumberFormat="1" applyFont="1" applyFill="1" applyBorder="1" applyAlignment="1" applyProtection="1">
      <alignment horizontal="center" vertical="center" wrapText="1"/>
      <protection locked="0" hidden="1"/>
    </xf>
    <xf numFmtId="167" fontId="61" fillId="7" borderId="9" xfId="0" applyNumberFormat="1" applyFont="1" applyFill="1" applyBorder="1" applyAlignment="1" applyProtection="1">
      <alignment horizontal="center" vertical="center"/>
      <protection hidden="1"/>
    </xf>
    <xf numFmtId="0" fontId="61" fillId="7" borderId="9" xfId="0" applyFont="1" applyFill="1" applyBorder="1" applyAlignment="1" applyProtection="1">
      <alignment horizontal="center" vertical="center" wrapText="1"/>
      <protection hidden="1"/>
    </xf>
    <xf numFmtId="0" fontId="61" fillId="7" borderId="9" xfId="0" applyFont="1" applyFill="1" applyBorder="1" applyAlignment="1" applyProtection="1">
      <alignment horizontal="center" vertical="center"/>
      <protection hidden="1"/>
    </xf>
    <xf numFmtId="1" fontId="1" fillId="0" borderId="0" xfId="0" applyNumberFormat="1" applyFont="1" applyAlignment="1" applyProtection="1">
      <alignment horizontal="center"/>
      <protection hidden="1"/>
    </xf>
    <xf numFmtId="0" fontId="9" fillId="0" borderId="0" xfId="0" applyFont="1" applyAlignment="1" applyProtection="1">
      <alignment horizontal="center"/>
      <protection hidden="1"/>
    </xf>
    <xf numFmtId="2" fontId="39" fillId="14" borderId="9" xfId="0" applyNumberFormat="1" applyFont="1" applyFill="1" applyBorder="1" applyAlignment="1" applyProtection="1">
      <alignment horizontal="center" vertical="center" wrapText="1"/>
      <protection hidden="1"/>
    </xf>
    <xf numFmtId="167" fontId="1" fillId="7" borderId="66" xfId="0" applyNumberFormat="1" applyFont="1" applyFill="1" applyBorder="1" applyAlignment="1" applyProtection="1">
      <alignment horizontal="center" vertical="center"/>
      <protection hidden="1"/>
    </xf>
    <xf numFmtId="181" fontId="20" fillId="12" borderId="9" xfId="0" applyNumberFormat="1" applyFont="1" applyFill="1" applyBorder="1" applyAlignment="1" applyProtection="1">
      <alignment horizontal="center" vertical="center" wrapText="1"/>
      <protection hidden="1"/>
    </xf>
    <xf numFmtId="181" fontId="20" fillId="12" borderId="34" xfId="0" applyNumberFormat="1" applyFont="1" applyFill="1" applyBorder="1" applyAlignment="1" applyProtection="1">
      <alignment horizontal="center" vertical="center" wrapText="1"/>
      <protection hidden="1"/>
    </xf>
    <xf numFmtId="181" fontId="10" fillId="14" borderId="39" xfId="0" applyNumberFormat="1" applyFont="1" applyFill="1" applyBorder="1" applyAlignment="1" applyProtection="1">
      <alignment horizontal="center" vertical="center" wrapText="1"/>
      <protection hidden="1"/>
    </xf>
    <xf numFmtId="14" fontId="61" fillId="7" borderId="44" xfId="0" applyNumberFormat="1" applyFont="1" applyFill="1" applyBorder="1" applyAlignment="1" applyProtection="1">
      <alignment horizontal="center" vertical="center" wrapText="1"/>
      <protection hidden="1"/>
    </xf>
    <xf numFmtId="0" fontId="39" fillId="0" borderId="2" xfId="0" applyFont="1" applyBorder="1" applyAlignment="1" applyProtection="1">
      <alignment horizontal="center" vertical="center"/>
      <protection hidden="1"/>
    </xf>
    <xf numFmtId="0" fontId="39" fillId="0" borderId="10" xfId="0" applyFont="1" applyBorder="1" applyAlignment="1" applyProtection="1">
      <alignment horizontal="center" vertical="center"/>
      <protection hidden="1"/>
    </xf>
    <xf numFmtId="170" fontId="39" fillId="0" borderId="49" xfId="0" applyNumberFormat="1" applyFont="1" applyBorder="1" applyAlignment="1" applyProtection="1">
      <alignment horizontal="center" vertical="center"/>
      <protection hidden="1"/>
    </xf>
    <xf numFmtId="0" fontId="39" fillId="7" borderId="41" xfId="0" applyFont="1" applyFill="1" applyBorder="1" applyAlignment="1" applyProtection="1">
      <alignment horizontal="center" vertical="center"/>
      <protection hidden="1"/>
    </xf>
    <xf numFmtId="14" fontId="20" fillId="0" borderId="0" xfId="0" applyNumberFormat="1" applyFont="1" applyAlignment="1" applyProtection="1">
      <alignment vertical="center" wrapText="1"/>
      <protection hidden="1"/>
    </xf>
    <xf numFmtId="0" fontId="1" fillId="0" borderId="0" xfId="0" applyFont="1" applyAlignment="1" applyProtection="1">
      <alignment horizontal="center" vertical="center" wrapText="1"/>
      <protection hidden="1"/>
    </xf>
    <xf numFmtId="0" fontId="2" fillId="2" borderId="0" xfId="0" applyFont="1" applyFill="1" applyAlignment="1" applyProtection="1">
      <alignment horizontal="justify" vertical="center" wrapText="1"/>
      <protection locked="0" hidden="1"/>
    </xf>
    <xf numFmtId="0" fontId="9" fillId="0" borderId="0" xfId="0" applyFont="1" applyAlignment="1" applyProtection="1">
      <alignment horizontal="left" vertical="center" wrapText="1"/>
      <protection hidden="1"/>
    </xf>
    <xf numFmtId="0" fontId="1" fillId="0" borderId="0" xfId="0" applyFont="1" applyAlignment="1" applyProtection="1">
      <alignment horizontal="center"/>
      <protection hidden="1"/>
    </xf>
    <xf numFmtId="0" fontId="1" fillId="0" borderId="0" xfId="0" applyFont="1" applyAlignment="1" applyProtection="1">
      <alignment horizontal="left" vertical="center" wrapText="1"/>
      <protection hidden="1"/>
    </xf>
    <xf numFmtId="0" fontId="2" fillId="0" borderId="0" xfId="0" applyFont="1" applyBorder="1" applyAlignment="1" applyProtection="1">
      <alignment horizontal="justify" vertical="center" wrapText="1"/>
      <protection hidden="1"/>
    </xf>
    <xf numFmtId="0" fontId="2" fillId="0" borderId="0" xfId="0" applyFont="1" applyAlignment="1" applyProtection="1">
      <alignment horizontal="justify" vertical="center" wrapText="1"/>
      <protection hidden="1"/>
    </xf>
    <xf numFmtId="0" fontId="2" fillId="0" borderId="0" xfId="0" applyFont="1" applyAlignment="1" applyProtection="1">
      <alignment horizontal="justify" vertical="center"/>
      <protection hidden="1"/>
    </xf>
    <xf numFmtId="0" fontId="1" fillId="0" borderId="0" xfId="0" applyFont="1" applyBorder="1" applyAlignment="1" applyProtection="1">
      <alignment horizontal="center" vertical="center" wrapText="1"/>
      <protection locked="0" hidden="1"/>
    </xf>
    <xf numFmtId="0" fontId="87" fillId="14" borderId="1" xfId="0" applyFont="1" applyFill="1" applyBorder="1" applyAlignment="1" applyProtection="1">
      <alignment horizontal="center" vertical="center" wrapText="1"/>
      <protection hidden="1"/>
    </xf>
    <xf numFmtId="0" fontId="7" fillId="14" borderId="1" xfId="0" applyFont="1" applyFill="1" applyBorder="1" applyAlignment="1" applyProtection="1">
      <alignment horizontal="center" vertical="center"/>
      <protection hidden="1"/>
    </xf>
    <xf numFmtId="167" fontId="9" fillId="0" borderId="0" xfId="0" applyNumberFormat="1" applyFont="1" applyProtection="1">
      <protection hidden="1"/>
    </xf>
    <xf numFmtId="167" fontId="2" fillId="0" borderId="0" xfId="0" applyNumberFormat="1" applyFont="1" applyProtection="1">
      <protection hidden="1"/>
    </xf>
    <xf numFmtId="167" fontId="9" fillId="14" borderId="1" xfId="0" applyNumberFormat="1" applyFont="1" applyFill="1" applyBorder="1" applyAlignment="1" applyProtection="1">
      <alignment horizontal="center" vertical="center" wrapText="1"/>
      <protection hidden="1"/>
    </xf>
    <xf numFmtId="2" fontId="9" fillId="14" borderId="1" xfId="0" applyNumberFormat="1" applyFont="1" applyFill="1" applyBorder="1" applyAlignment="1" applyProtection="1">
      <alignment horizontal="center" vertical="center" wrapText="1"/>
      <protection hidden="1"/>
    </xf>
    <xf numFmtId="165" fontId="9" fillId="14" borderId="1" xfId="0" applyNumberFormat="1" applyFont="1" applyFill="1" applyBorder="1" applyAlignment="1" applyProtection="1">
      <alignment horizontal="center" vertical="center" wrapText="1"/>
      <protection hidden="1"/>
    </xf>
    <xf numFmtId="166" fontId="9" fillId="14" borderId="1" xfId="0" applyNumberFormat="1" applyFont="1" applyFill="1" applyBorder="1" applyAlignment="1" applyProtection="1">
      <alignment horizontal="center" vertical="center" wrapText="1"/>
      <protection hidden="1"/>
    </xf>
    <xf numFmtId="170" fontId="39" fillId="14" borderId="40" xfId="0" applyNumberFormat="1" applyFont="1" applyFill="1" applyBorder="1" applyAlignment="1" applyProtection="1">
      <alignment horizontal="center" vertical="center" wrapText="1"/>
      <protection hidden="1"/>
    </xf>
    <xf numFmtId="170" fontId="39" fillId="14" borderId="9" xfId="0" applyNumberFormat="1" applyFont="1" applyFill="1" applyBorder="1" applyAlignment="1" applyProtection="1">
      <alignment horizontal="center" vertical="center" wrapText="1"/>
      <protection hidden="1"/>
    </xf>
    <xf numFmtId="3" fontId="39" fillId="14" borderId="39" xfId="0" applyNumberFormat="1" applyFont="1" applyFill="1" applyBorder="1" applyAlignment="1" applyProtection="1">
      <alignment horizontal="center" vertical="center"/>
      <protection hidden="1"/>
    </xf>
    <xf numFmtId="3" fontId="39" fillId="14" borderId="40" xfId="0" applyNumberFormat="1" applyFont="1" applyFill="1" applyBorder="1" applyAlignment="1" applyProtection="1">
      <alignment horizontal="center" vertical="center"/>
      <protection hidden="1"/>
    </xf>
    <xf numFmtId="0" fontId="39" fillId="14" borderId="40" xfId="0" applyFont="1" applyFill="1" applyBorder="1" applyAlignment="1" applyProtection="1">
      <alignment horizontal="center" vertical="center" wrapText="1"/>
      <protection hidden="1"/>
    </xf>
    <xf numFmtId="165" fontId="39" fillId="14" borderId="40" xfId="0" applyNumberFormat="1" applyFont="1" applyFill="1" applyBorder="1" applyAlignment="1" applyProtection="1">
      <alignment horizontal="center" vertical="center"/>
      <protection hidden="1"/>
    </xf>
    <xf numFmtId="165" fontId="39" fillId="14" borderId="41" xfId="0" applyNumberFormat="1" applyFont="1" applyFill="1" applyBorder="1" applyAlignment="1" applyProtection="1">
      <alignment horizontal="center" vertical="center"/>
      <protection hidden="1"/>
    </xf>
    <xf numFmtId="3" fontId="39" fillId="14" borderId="32" xfId="0" applyNumberFormat="1" applyFont="1" applyFill="1" applyBorder="1" applyAlignment="1" applyProtection="1">
      <alignment horizontal="center" vertical="center"/>
      <protection hidden="1"/>
    </xf>
    <xf numFmtId="3" fontId="39" fillId="14" borderId="18" xfId="0" applyNumberFormat="1" applyFont="1" applyFill="1" applyBorder="1" applyAlignment="1" applyProtection="1">
      <alignment horizontal="center" vertical="center"/>
      <protection hidden="1"/>
    </xf>
    <xf numFmtId="0" fontId="39" fillId="14" borderId="9" xfId="0" applyFont="1" applyFill="1" applyBorder="1" applyAlignment="1" applyProtection="1">
      <alignment horizontal="center" vertical="center" wrapText="1"/>
      <protection hidden="1"/>
    </xf>
    <xf numFmtId="165" fontId="39" fillId="14" borderId="18" xfId="0" applyNumberFormat="1" applyFont="1" applyFill="1" applyBorder="1" applyAlignment="1" applyProtection="1">
      <alignment horizontal="center" vertical="center"/>
      <protection hidden="1"/>
    </xf>
    <xf numFmtId="165" fontId="39" fillId="14" borderId="36" xfId="0" applyNumberFormat="1" applyFont="1" applyFill="1" applyBorder="1" applyAlignment="1" applyProtection="1">
      <alignment horizontal="center" vertical="center"/>
      <protection hidden="1"/>
    </xf>
    <xf numFmtId="3" fontId="39" fillId="14" borderId="43" xfId="0" applyNumberFormat="1" applyFont="1" applyFill="1" applyBorder="1" applyAlignment="1" applyProtection="1">
      <alignment horizontal="center" vertical="center"/>
      <protection hidden="1"/>
    </xf>
    <xf numFmtId="3" fontId="39" fillId="14" borderId="44" xfId="0" applyNumberFormat="1" applyFont="1" applyFill="1" applyBorder="1" applyAlignment="1" applyProtection="1">
      <alignment horizontal="center" vertical="center"/>
      <protection hidden="1"/>
    </xf>
    <xf numFmtId="170" fontId="39" fillId="14" borderId="44" xfId="0" applyNumberFormat="1" applyFont="1" applyFill="1" applyBorder="1" applyAlignment="1" applyProtection="1">
      <alignment horizontal="center" vertical="center" wrapText="1"/>
      <protection hidden="1"/>
    </xf>
    <xf numFmtId="0" fontId="39" fillId="14" borderId="44" xfId="0" applyFont="1" applyFill="1" applyBorder="1" applyAlignment="1" applyProtection="1">
      <alignment horizontal="center" vertical="center" wrapText="1"/>
      <protection hidden="1"/>
    </xf>
    <xf numFmtId="165" fontId="39" fillId="14" borderId="53" xfId="0" applyNumberFormat="1" applyFont="1" applyFill="1" applyBorder="1" applyAlignment="1" applyProtection="1">
      <alignment horizontal="center" vertical="center"/>
      <protection hidden="1"/>
    </xf>
    <xf numFmtId="165" fontId="39" fillId="14" borderId="78" xfId="0" applyNumberFormat="1" applyFont="1" applyFill="1" applyBorder="1" applyAlignment="1" applyProtection="1">
      <alignment horizontal="center" vertical="center"/>
      <protection hidden="1"/>
    </xf>
    <xf numFmtId="0" fontId="4" fillId="5" borderId="69" xfId="0" applyFont="1" applyFill="1" applyBorder="1" applyAlignment="1" applyProtection="1">
      <alignment horizontal="center" vertical="center" wrapText="1"/>
      <protection hidden="1"/>
    </xf>
    <xf numFmtId="0" fontId="45" fillId="5" borderId="69" xfId="0" applyFont="1" applyFill="1" applyBorder="1" applyAlignment="1" applyProtection="1">
      <alignment horizontal="center" vertical="center" wrapText="1"/>
      <protection hidden="1"/>
    </xf>
    <xf numFmtId="49" fontId="2" fillId="33" borderId="1" xfId="0" applyNumberFormat="1" applyFont="1" applyFill="1" applyBorder="1" applyAlignment="1" applyProtection="1">
      <alignment horizontal="center" vertical="center"/>
      <protection locked="0" hidden="1"/>
    </xf>
    <xf numFmtId="184" fontId="65" fillId="0" borderId="0" xfId="0" applyNumberFormat="1" applyFont="1" applyFill="1" applyAlignment="1" applyProtection="1">
      <alignment horizontal="left" vertical="center" wrapText="1"/>
      <protection hidden="1"/>
    </xf>
    <xf numFmtId="0" fontId="65" fillId="0" borderId="0" xfId="0" applyFont="1" applyAlignment="1" applyProtection="1">
      <alignment horizontal="left" vertical="center" wrapText="1"/>
      <protection hidden="1"/>
    </xf>
    <xf numFmtId="183" fontId="65" fillId="0" borderId="0" xfId="0" applyNumberFormat="1" applyFont="1" applyFill="1" applyAlignment="1" applyProtection="1">
      <alignment horizontal="left" vertical="center" wrapText="1"/>
      <protection hidden="1"/>
    </xf>
    <xf numFmtId="0" fontId="65" fillId="0" borderId="0" xfId="0" applyFont="1" applyAlignment="1" applyProtection="1">
      <alignment vertical="center" wrapText="1"/>
      <protection hidden="1"/>
    </xf>
    <xf numFmtId="14" fontId="37" fillId="0" borderId="40" xfId="0" applyNumberFormat="1" applyFont="1" applyBorder="1" applyAlignment="1" applyProtection="1">
      <alignment horizontal="center" vertical="center" wrapText="1"/>
      <protection hidden="1"/>
    </xf>
    <xf numFmtId="0" fontId="37" fillId="0" borderId="9" xfId="0" applyFont="1" applyBorder="1" applyAlignment="1" applyProtection="1">
      <alignment horizontal="center" vertical="center" wrapText="1"/>
      <protection hidden="1"/>
    </xf>
    <xf numFmtId="165" fontId="37" fillId="0" borderId="1" xfId="0" applyNumberFormat="1" applyFont="1" applyFill="1" applyBorder="1" applyAlignment="1" applyProtection="1">
      <alignment horizontal="centerContinuous" vertical="center" wrapText="1"/>
      <protection hidden="1"/>
    </xf>
    <xf numFmtId="2" fontId="37" fillId="0" borderId="1" xfId="0" applyNumberFormat="1" applyFont="1" applyFill="1" applyBorder="1" applyAlignment="1" applyProtection="1">
      <alignment horizontal="centerContinuous" vertical="center" wrapText="1"/>
      <protection hidden="1"/>
    </xf>
    <xf numFmtId="0" fontId="90" fillId="2" borderId="0" xfId="0" applyFont="1" applyFill="1" applyProtection="1">
      <protection hidden="1"/>
    </xf>
    <xf numFmtId="0" fontId="65" fillId="2" borderId="19" xfId="0" applyFont="1" applyFill="1" applyBorder="1" applyAlignment="1" applyProtection="1">
      <alignment horizontal="center" vertical="center"/>
      <protection hidden="1"/>
    </xf>
    <xf numFmtId="167" fontId="65" fillId="2" borderId="22" xfId="0" applyNumberFormat="1" applyFont="1" applyFill="1" applyBorder="1" applyAlignment="1" applyProtection="1">
      <alignment horizontal="center" vertical="center"/>
      <protection hidden="1"/>
    </xf>
    <xf numFmtId="0" fontId="65" fillId="2" borderId="20" xfId="0" applyFont="1" applyFill="1" applyBorder="1" applyAlignment="1" applyProtection="1">
      <alignment horizontal="center" vertical="center"/>
      <protection hidden="1"/>
    </xf>
    <xf numFmtId="167" fontId="90" fillId="2" borderId="0" xfId="0" applyNumberFormat="1" applyFont="1" applyFill="1" applyProtection="1">
      <protection hidden="1"/>
    </xf>
    <xf numFmtId="2" fontId="65" fillId="2" borderId="0" xfId="0" applyNumberFormat="1" applyFont="1" applyFill="1" applyProtection="1">
      <protection hidden="1"/>
    </xf>
    <xf numFmtId="0" fontId="65" fillId="2" borderId="0" xfId="0" applyFont="1" applyFill="1" applyBorder="1" applyAlignment="1" applyProtection="1">
      <alignment horizontal="justify" vertical="center" wrapText="1"/>
      <protection hidden="1"/>
    </xf>
    <xf numFmtId="0" fontId="65" fillId="2" borderId="0" xfId="0" applyFont="1" applyFill="1" applyAlignment="1" applyProtection="1">
      <alignment horizontal="justify" vertical="center" wrapText="1"/>
      <protection hidden="1"/>
    </xf>
    <xf numFmtId="0" fontId="65" fillId="2" borderId="0" xfId="0" applyFont="1" applyFill="1" applyAlignment="1" applyProtection="1">
      <alignment horizontal="justify" vertical="center" wrapText="1"/>
      <protection locked="0" hidden="1"/>
    </xf>
    <xf numFmtId="0" fontId="65" fillId="2" borderId="0" xfId="0" applyFont="1" applyFill="1" applyBorder="1" applyAlignment="1" applyProtection="1">
      <alignment horizontal="justify" vertical="center" wrapText="1"/>
      <protection locked="0" hidden="1"/>
    </xf>
    <xf numFmtId="0" fontId="65" fillId="17" borderId="47" xfId="0" applyFont="1" applyFill="1" applyBorder="1" applyAlignment="1" applyProtection="1">
      <alignment horizontal="center" vertical="center" wrapText="1"/>
      <protection hidden="1"/>
    </xf>
    <xf numFmtId="0" fontId="65" fillId="17" borderId="5" xfId="0" applyFont="1" applyFill="1" applyBorder="1" applyAlignment="1" applyProtection="1">
      <alignment horizontal="center" vertical="center" wrapText="1"/>
      <protection hidden="1"/>
    </xf>
    <xf numFmtId="0" fontId="65" fillId="17" borderId="38" xfId="0" applyFont="1" applyFill="1" applyBorder="1" applyAlignment="1" applyProtection="1">
      <alignment horizontal="center" vertical="center" wrapText="1"/>
      <protection hidden="1"/>
    </xf>
    <xf numFmtId="0" fontId="14" fillId="0" borderId="6" xfId="0" applyFont="1" applyBorder="1" applyAlignment="1" applyProtection="1">
      <alignment horizontal="center" vertical="center"/>
      <protection hidden="1"/>
    </xf>
    <xf numFmtId="0" fontId="14" fillId="0" borderId="7"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61" fillId="7" borderId="71" xfId="0" applyFont="1" applyFill="1" applyBorder="1" applyAlignment="1" applyProtection="1">
      <alignment horizontal="center" vertical="center" wrapText="1"/>
      <protection hidden="1"/>
    </xf>
    <xf numFmtId="0" fontId="61" fillId="7" borderId="70" xfId="0" applyFont="1" applyFill="1" applyBorder="1" applyAlignment="1" applyProtection="1">
      <alignment horizontal="center" vertical="center" wrapText="1"/>
      <protection hidden="1"/>
    </xf>
    <xf numFmtId="0" fontId="61" fillId="7" borderId="50" xfId="0" applyFont="1" applyFill="1" applyBorder="1" applyAlignment="1" applyProtection="1">
      <alignment horizontal="center" vertical="center" wrapText="1"/>
      <protection hidden="1"/>
    </xf>
    <xf numFmtId="0" fontId="65" fillId="17" borderId="6" xfId="0" applyFont="1" applyFill="1" applyBorder="1" applyAlignment="1" applyProtection="1">
      <alignment horizontal="center" vertical="center" wrapText="1"/>
      <protection hidden="1"/>
    </xf>
    <xf numFmtId="0" fontId="65" fillId="17" borderId="7" xfId="0" applyFont="1" applyFill="1" applyBorder="1" applyAlignment="1" applyProtection="1">
      <alignment horizontal="center" vertical="center" wrapText="1"/>
      <protection hidden="1"/>
    </xf>
    <xf numFmtId="0" fontId="65" fillId="17" borderId="8" xfId="0" applyFont="1" applyFill="1" applyBorder="1" applyAlignment="1" applyProtection="1">
      <alignment horizontal="center" vertical="center" wrapText="1"/>
      <protection hidden="1"/>
    </xf>
    <xf numFmtId="0" fontId="65" fillId="17" borderId="0" xfId="0" applyFont="1" applyFill="1" applyBorder="1" applyAlignment="1" applyProtection="1">
      <alignment horizontal="center" vertical="center" wrapText="1"/>
      <protection hidden="1"/>
    </xf>
    <xf numFmtId="0" fontId="65" fillId="17" borderId="49" xfId="0" applyFont="1" applyFill="1" applyBorder="1" applyAlignment="1" applyProtection="1">
      <alignment horizontal="center" vertical="center" wrapText="1"/>
      <protection hidden="1"/>
    </xf>
    <xf numFmtId="167" fontId="61" fillId="7" borderId="9" xfId="0" applyNumberFormat="1" applyFont="1" applyFill="1" applyBorder="1" applyAlignment="1" applyProtection="1">
      <alignment horizontal="center" vertical="center"/>
      <protection hidden="1"/>
    </xf>
    <xf numFmtId="0" fontId="61" fillId="7" borderId="9" xfId="0" applyFont="1" applyFill="1" applyBorder="1" applyAlignment="1" applyProtection="1">
      <alignment horizontal="center" vertical="center" wrapText="1"/>
      <protection hidden="1"/>
    </xf>
    <xf numFmtId="0" fontId="61" fillId="7" borderId="9" xfId="0" applyFont="1" applyFill="1" applyBorder="1" applyAlignment="1" applyProtection="1">
      <alignment horizontal="center" vertical="center"/>
      <protection hidden="1"/>
    </xf>
    <xf numFmtId="0" fontId="39" fillId="18" borderId="6" xfId="0" applyFont="1" applyFill="1" applyBorder="1" applyAlignment="1" applyProtection="1">
      <alignment horizontal="center" vertical="center"/>
      <protection hidden="1"/>
    </xf>
    <xf numFmtId="0" fontId="39" fillId="18" borderId="7" xfId="0" applyFont="1" applyFill="1" applyBorder="1" applyAlignment="1" applyProtection="1">
      <alignment horizontal="center" vertical="center"/>
      <protection hidden="1"/>
    </xf>
    <xf numFmtId="0" fontId="39" fillId="18" borderId="8" xfId="0" applyFont="1" applyFill="1" applyBorder="1" applyAlignment="1" applyProtection="1">
      <alignment horizontal="center" vertical="center"/>
      <protection hidden="1"/>
    </xf>
    <xf numFmtId="0" fontId="39" fillId="0" borderId="31" xfId="0" applyFont="1" applyFill="1" applyBorder="1" applyAlignment="1" applyProtection="1">
      <alignment horizontal="center" vertical="center"/>
      <protection hidden="1"/>
    </xf>
    <xf numFmtId="0" fontId="39" fillId="0" borderId="59" xfId="0" applyFont="1" applyFill="1" applyBorder="1" applyAlignment="1" applyProtection="1">
      <alignment horizontal="center" vertical="center"/>
      <protection hidden="1"/>
    </xf>
    <xf numFmtId="0" fontId="39" fillId="0" borderId="54" xfId="0" applyFont="1" applyFill="1" applyBorder="1" applyAlignment="1" applyProtection="1">
      <alignment horizontal="center" vertical="center"/>
      <protection hidden="1"/>
    </xf>
    <xf numFmtId="0" fontId="57" fillId="17" borderId="6" xfId="0" applyFont="1" applyFill="1" applyBorder="1" applyAlignment="1" applyProtection="1">
      <alignment horizontal="center" vertical="center"/>
      <protection hidden="1"/>
    </xf>
    <xf numFmtId="0" fontId="57" fillId="17" borderId="7" xfId="0" applyFont="1" applyFill="1" applyBorder="1" applyAlignment="1" applyProtection="1">
      <alignment horizontal="center" vertical="center"/>
      <protection hidden="1"/>
    </xf>
    <xf numFmtId="0" fontId="57" fillId="17" borderId="8" xfId="0" applyFont="1" applyFill="1" applyBorder="1" applyAlignment="1" applyProtection="1">
      <alignment horizontal="center" vertical="center"/>
      <protection hidden="1"/>
    </xf>
    <xf numFmtId="0" fontId="39" fillId="0" borderId="31" xfId="0" applyFont="1" applyFill="1" applyBorder="1" applyAlignment="1" applyProtection="1">
      <alignment horizontal="center"/>
      <protection hidden="1"/>
    </xf>
    <xf numFmtId="0" fontId="39" fillId="0" borderId="48" xfId="0" applyFont="1" applyFill="1" applyBorder="1" applyAlignment="1" applyProtection="1">
      <alignment horizontal="center"/>
      <protection hidden="1"/>
    </xf>
    <xf numFmtId="0" fontId="39" fillId="0" borderId="0" xfId="0" applyFont="1" applyFill="1" applyBorder="1" applyAlignment="1" applyProtection="1">
      <alignment horizontal="center" vertical="center"/>
      <protection hidden="1"/>
    </xf>
    <xf numFmtId="0" fontId="72" fillId="17" borderId="6" xfId="0" applyFont="1" applyFill="1" applyBorder="1" applyAlignment="1" applyProtection="1">
      <alignment horizontal="center" vertical="center"/>
      <protection hidden="1"/>
    </xf>
    <xf numFmtId="0" fontId="72" fillId="17" borderId="7" xfId="0" applyFont="1" applyFill="1" applyBorder="1" applyAlignment="1" applyProtection="1">
      <alignment horizontal="center" vertical="center"/>
      <protection hidden="1"/>
    </xf>
    <xf numFmtId="0" fontId="72" fillId="17" borderId="8" xfId="0" applyFont="1" applyFill="1" applyBorder="1" applyAlignment="1" applyProtection="1">
      <alignment horizontal="center" vertical="center"/>
      <protection hidden="1"/>
    </xf>
    <xf numFmtId="0" fontId="23" fillId="17" borderId="6" xfId="0" applyFont="1" applyFill="1" applyBorder="1" applyAlignment="1" applyProtection="1">
      <alignment horizontal="center" vertical="center"/>
      <protection hidden="1"/>
    </xf>
    <xf numFmtId="0" fontId="23" fillId="17" borderId="7" xfId="0" applyFont="1" applyFill="1" applyBorder="1" applyAlignment="1" applyProtection="1">
      <alignment horizontal="center" vertical="center"/>
      <protection hidden="1"/>
    </xf>
    <xf numFmtId="0" fontId="23" fillId="17" borderId="8" xfId="0" applyFont="1" applyFill="1" applyBorder="1" applyAlignment="1" applyProtection="1">
      <alignment horizontal="center" vertical="center"/>
      <protection hidden="1"/>
    </xf>
    <xf numFmtId="0" fontId="23" fillId="17" borderId="6" xfId="0" applyFont="1" applyFill="1" applyBorder="1" applyAlignment="1" applyProtection="1">
      <alignment horizontal="center" vertical="center" wrapText="1"/>
      <protection hidden="1"/>
    </xf>
    <xf numFmtId="0" fontId="23" fillId="17" borderId="7" xfId="0" applyFont="1" applyFill="1" applyBorder="1" applyAlignment="1" applyProtection="1">
      <alignment horizontal="center" vertical="center" wrapText="1"/>
      <protection hidden="1"/>
    </xf>
    <xf numFmtId="0" fontId="23" fillId="17" borderId="8" xfId="0" applyFont="1" applyFill="1" applyBorder="1" applyAlignment="1" applyProtection="1">
      <alignment horizontal="center" vertical="center" wrapText="1"/>
      <protection hidden="1"/>
    </xf>
    <xf numFmtId="0" fontId="23" fillId="17" borderId="2" xfId="0" applyFont="1" applyFill="1" applyBorder="1" applyAlignment="1" applyProtection="1">
      <alignment horizontal="center" vertical="center" wrapText="1"/>
      <protection hidden="1"/>
    </xf>
    <xf numFmtId="0" fontId="23" fillId="17" borderId="3" xfId="0" applyFont="1" applyFill="1" applyBorder="1" applyAlignment="1" applyProtection="1">
      <alignment horizontal="center" vertical="center" wrapText="1"/>
      <protection hidden="1"/>
    </xf>
    <xf numFmtId="0" fontId="23" fillId="17" borderId="4" xfId="0" applyFont="1" applyFill="1" applyBorder="1" applyAlignment="1" applyProtection="1">
      <alignment horizontal="center" vertical="center" wrapText="1"/>
      <protection hidden="1"/>
    </xf>
    <xf numFmtId="0" fontId="23" fillId="17" borderId="47" xfId="0" applyFont="1" applyFill="1" applyBorder="1" applyAlignment="1" applyProtection="1">
      <alignment horizontal="center" vertical="center" wrapText="1"/>
      <protection hidden="1"/>
    </xf>
    <xf numFmtId="0" fontId="23" fillId="17" borderId="5" xfId="0" applyFont="1" applyFill="1" applyBorder="1" applyAlignment="1" applyProtection="1">
      <alignment horizontal="center" vertical="center" wrapText="1"/>
      <protection hidden="1"/>
    </xf>
    <xf numFmtId="0" fontId="23" fillId="17" borderId="38" xfId="0" applyFont="1" applyFill="1" applyBorder="1" applyAlignment="1" applyProtection="1">
      <alignment horizontal="center" vertical="center" wrapText="1"/>
      <protection hidden="1"/>
    </xf>
    <xf numFmtId="14" fontId="39" fillId="31" borderId="59" xfId="0" applyNumberFormat="1" applyFont="1" applyFill="1" applyBorder="1" applyAlignment="1" applyProtection="1">
      <alignment horizontal="center" vertical="center"/>
      <protection hidden="1"/>
    </xf>
    <xf numFmtId="14" fontId="39" fillId="31" borderId="23" xfId="0" applyNumberFormat="1" applyFont="1" applyFill="1" applyBorder="1" applyAlignment="1" applyProtection="1">
      <alignment horizontal="center" vertical="center"/>
      <protection hidden="1"/>
    </xf>
    <xf numFmtId="14" fontId="39" fillId="31" borderId="62" xfId="0" applyNumberFormat="1" applyFont="1" applyFill="1" applyBorder="1" applyAlignment="1" applyProtection="1">
      <alignment horizontal="center" vertical="center"/>
      <protection hidden="1"/>
    </xf>
    <xf numFmtId="0" fontId="61" fillId="31" borderId="71" xfId="0" applyFont="1" applyFill="1" applyBorder="1" applyAlignment="1" applyProtection="1">
      <alignment horizontal="center" vertical="center" textRotation="90" wrapText="1"/>
      <protection hidden="1"/>
    </xf>
    <xf numFmtId="0" fontId="61" fillId="31" borderId="70" xfId="0" applyFont="1" applyFill="1" applyBorder="1" applyAlignment="1" applyProtection="1">
      <alignment horizontal="center" vertical="center" textRotation="90" wrapText="1"/>
      <protection hidden="1"/>
    </xf>
    <xf numFmtId="0" fontId="61" fillId="31" borderId="10" xfId="0" applyFont="1" applyFill="1" applyBorder="1" applyAlignment="1" applyProtection="1">
      <alignment horizontal="center" vertical="center" textRotation="90" wrapText="1"/>
      <protection hidden="1"/>
    </xf>
    <xf numFmtId="0" fontId="16" fillId="31" borderId="71" xfId="0" applyFont="1" applyFill="1" applyBorder="1" applyAlignment="1" applyProtection="1">
      <alignment horizontal="center" vertical="center" textRotation="90" wrapText="1"/>
      <protection hidden="1"/>
    </xf>
    <xf numFmtId="0" fontId="16" fillId="31" borderId="70" xfId="0" applyFont="1" applyFill="1" applyBorder="1" applyAlignment="1" applyProtection="1">
      <alignment horizontal="center" vertical="center" textRotation="90" wrapText="1"/>
      <protection hidden="1"/>
    </xf>
    <xf numFmtId="0" fontId="16" fillId="31" borderId="50" xfId="0" applyFont="1" applyFill="1" applyBorder="1" applyAlignment="1" applyProtection="1">
      <alignment horizontal="center" vertical="center" textRotation="90" wrapText="1"/>
      <protection hidden="1"/>
    </xf>
    <xf numFmtId="0" fontId="61" fillId="31" borderId="29" xfId="0" applyFont="1" applyFill="1" applyBorder="1" applyAlignment="1" applyProtection="1">
      <alignment horizontal="center" vertical="center"/>
      <protection hidden="1"/>
    </xf>
    <xf numFmtId="0" fontId="61" fillId="31" borderId="24" xfId="0" applyFont="1" applyFill="1" applyBorder="1" applyAlignment="1" applyProtection="1">
      <alignment horizontal="center" vertical="center"/>
      <protection hidden="1"/>
    </xf>
    <xf numFmtId="0" fontId="61" fillId="31" borderId="46" xfId="0" applyFont="1" applyFill="1" applyBorder="1" applyAlignment="1" applyProtection="1">
      <alignment horizontal="center" vertical="center"/>
      <protection hidden="1"/>
    </xf>
    <xf numFmtId="0" fontId="16" fillId="18" borderId="6" xfId="0" applyFont="1" applyFill="1" applyBorder="1" applyAlignment="1" applyProtection="1">
      <alignment horizontal="center" vertical="center"/>
      <protection hidden="1"/>
    </xf>
    <xf numFmtId="0" fontId="16" fillId="18" borderId="7" xfId="0" applyFont="1" applyFill="1" applyBorder="1" applyAlignment="1" applyProtection="1">
      <alignment horizontal="center" vertical="center"/>
      <protection hidden="1"/>
    </xf>
    <xf numFmtId="0" fontId="16" fillId="18" borderId="8" xfId="0" applyFont="1" applyFill="1" applyBorder="1" applyAlignment="1" applyProtection="1">
      <alignment horizontal="center" vertical="center"/>
      <protection hidden="1"/>
    </xf>
    <xf numFmtId="0" fontId="61" fillId="31" borderId="40" xfId="0" applyFont="1" applyFill="1" applyBorder="1" applyAlignment="1" applyProtection="1">
      <alignment horizontal="center" vertical="center"/>
      <protection hidden="1"/>
    </xf>
    <xf numFmtId="0" fontId="61" fillId="31" borderId="9" xfId="0" applyFont="1" applyFill="1" applyBorder="1" applyAlignment="1" applyProtection="1">
      <alignment horizontal="center" vertical="center"/>
      <protection hidden="1"/>
    </xf>
    <xf numFmtId="0" fontId="61" fillId="31" borderId="44" xfId="0" applyFont="1" applyFill="1" applyBorder="1" applyAlignment="1" applyProtection="1">
      <alignment horizontal="center" vertical="center"/>
      <protection hidden="1"/>
    </xf>
    <xf numFmtId="0" fontId="39" fillId="31" borderId="71" xfId="0" applyFont="1" applyFill="1" applyBorder="1" applyAlignment="1" applyProtection="1">
      <alignment horizontal="center" vertical="center" textRotation="90" wrapText="1"/>
      <protection hidden="1"/>
    </xf>
    <xf numFmtId="0" fontId="39" fillId="31" borderId="70" xfId="0" applyFont="1" applyFill="1" applyBorder="1" applyAlignment="1" applyProtection="1">
      <alignment horizontal="center" vertical="center" textRotation="90" wrapText="1"/>
      <protection hidden="1"/>
    </xf>
    <xf numFmtId="0" fontId="39" fillId="31" borderId="50" xfId="0" applyFont="1" applyFill="1" applyBorder="1" applyAlignment="1" applyProtection="1">
      <alignment horizontal="center" vertical="center" textRotation="90" wrapText="1"/>
      <protection hidden="1"/>
    </xf>
    <xf numFmtId="0" fontId="16" fillId="30" borderId="10" xfId="0" applyFont="1" applyFill="1" applyBorder="1" applyAlignment="1" applyProtection="1">
      <alignment horizontal="center" vertical="center"/>
      <protection hidden="1"/>
    </xf>
    <xf numFmtId="0" fontId="61" fillId="30" borderId="49" xfId="0" applyFont="1" applyFill="1" applyBorder="1" applyAlignment="1" applyProtection="1">
      <alignment horizontal="center" vertical="center"/>
      <protection hidden="1"/>
    </xf>
    <xf numFmtId="0" fontId="61" fillId="30" borderId="10" xfId="0" applyFont="1" applyFill="1" applyBorder="1" applyAlignment="1" applyProtection="1">
      <alignment horizontal="center" vertical="center"/>
      <protection hidden="1"/>
    </xf>
    <xf numFmtId="0" fontId="61" fillId="30" borderId="47" xfId="0" applyFont="1" applyFill="1" applyBorder="1" applyAlignment="1" applyProtection="1">
      <alignment horizontal="center" vertical="center"/>
      <protection hidden="1"/>
    </xf>
    <xf numFmtId="0" fontId="61" fillId="30" borderId="38" xfId="0" applyFont="1" applyFill="1" applyBorder="1" applyAlignment="1" applyProtection="1">
      <alignment horizontal="center" vertical="center"/>
      <protection hidden="1"/>
    </xf>
    <xf numFmtId="0" fontId="39" fillId="30" borderId="51" xfId="0" applyFont="1" applyFill="1" applyBorder="1" applyAlignment="1" applyProtection="1">
      <alignment horizontal="center" vertical="center" wrapText="1"/>
      <protection hidden="1"/>
    </xf>
    <xf numFmtId="0" fontId="61" fillId="30" borderId="15" xfId="0" applyFont="1" applyFill="1" applyBorder="1" applyAlignment="1" applyProtection="1">
      <alignment horizontal="center" vertical="center"/>
      <protection hidden="1"/>
    </xf>
    <xf numFmtId="3" fontId="39" fillId="30" borderId="24" xfId="0" applyNumberFormat="1" applyFont="1" applyFill="1" applyBorder="1" applyAlignment="1" applyProtection="1">
      <alignment horizontal="center" vertical="center" wrapText="1"/>
      <protection hidden="1"/>
    </xf>
    <xf numFmtId="0" fontId="0" fillId="30" borderId="24" xfId="0" applyFill="1" applyBorder="1" applyAlignment="1" applyProtection="1">
      <alignment horizontal="center" vertical="center" wrapText="1"/>
      <protection hidden="1"/>
    </xf>
    <xf numFmtId="0" fontId="0" fillId="30" borderId="15" xfId="0" applyFill="1" applyBorder="1" applyAlignment="1" applyProtection="1">
      <alignment horizontal="center" vertical="center" wrapText="1"/>
      <protection hidden="1"/>
    </xf>
    <xf numFmtId="0" fontId="39" fillId="14" borderId="16" xfId="0" applyFont="1" applyFill="1" applyBorder="1" applyAlignment="1" applyProtection="1">
      <alignment horizontal="center" vertical="center"/>
      <protection hidden="1"/>
    </xf>
    <xf numFmtId="0" fontId="39" fillId="14" borderId="17" xfId="0" applyFont="1" applyFill="1" applyBorder="1" applyAlignment="1" applyProtection="1">
      <alignment horizontal="center" vertical="center"/>
      <protection hidden="1"/>
    </xf>
    <xf numFmtId="170" fontId="39" fillId="14" borderId="15" xfId="0" applyNumberFormat="1" applyFont="1" applyFill="1" applyBorder="1" applyAlignment="1" applyProtection="1">
      <alignment horizontal="center" vertical="center"/>
      <protection hidden="1"/>
    </xf>
    <xf numFmtId="170" fontId="39" fillId="14" borderId="18" xfId="0" applyNumberFormat="1" applyFont="1" applyFill="1" applyBorder="1" applyAlignment="1" applyProtection="1">
      <alignment horizontal="center" vertical="center"/>
      <protection hidden="1"/>
    </xf>
    <xf numFmtId="14" fontId="39" fillId="14" borderId="65" xfId="0" applyNumberFormat="1" applyFont="1" applyFill="1" applyBorder="1" applyAlignment="1" applyProtection="1">
      <alignment horizontal="center" vertical="center"/>
      <protection hidden="1"/>
    </xf>
    <xf numFmtId="14" fontId="39" fillId="14" borderId="36" xfId="0" applyNumberFormat="1" applyFont="1" applyFill="1" applyBorder="1" applyAlignment="1" applyProtection="1">
      <alignment horizontal="center" vertical="center"/>
      <protection hidden="1"/>
    </xf>
    <xf numFmtId="0" fontId="62" fillId="30" borderId="10" xfId="0" applyFont="1" applyFill="1" applyBorder="1" applyAlignment="1" applyProtection="1">
      <alignment horizontal="center" vertical="center"/>
      <protection hidden="1"/>
    </xf>
    <xf numFmtId="0" fontId="62" fillId="30" borderId="49" xfId="0" applyFont="1" applyFill="1" applyBorder="1" applyAlignment="1" applyProtection="1">
      <alignment horizontal="center" vertical="center"/>
      <protection hidden="1"/>
    </xf>
    <xf numFmtId="0" fontId="62" fillId="30" borderId="2" xfId="0" applyFont="1" applyFill="1" applyBorder="1" applyAlignment="1" applyProtection="1">
      <alignment horizontal="center" vertical="center"/>
      <protection hidden="1"/>
    </xf>
    <xf numFmtId="0" fontId="62" fillId="30" borderId="4" xfId="0" applyFont="1" applyFill="1" applyBorder="1" applyAlignment="1" applyProtection="1">
      <alignment horizontal="center" vertical="center"/>
      <protection hidden="1"/>
    </xf>
    <xf numFmtId="0" fontId="62" fillId="30" borderId="47" xfId="0" applyFont="1" applyFill="1" applyBorder="1" applyAlignment="1" applyProtection="1">
      <alignment horizontal="center" vertical="center"/>
      <protection hidden="1"/>
    </xf>
    <xf numFmtId="0" fontId="62" fillId="30" borderId="38" xfId="0" applyFont="1" applyFill="1" applyBorder="1" applyAlignment="1" applyProtection="1">
      <alignment horizontal="center" vertical="center"/>
      <protection hidden="1"/>
    </xf>
    <xf numFmtId="0" fontId="39" fillId="14" borderId="41" xfId="0" applyFont="1" applyFill="1" applyBorder="1" applyAlignment="1" applyProtection="1">
      <alignment horizontal="center" vertical="center" wrapText="1"/>
      <protection hidden="1"/>
    </xf>
    <xf numFmtId="0" fontId="0" fillId="14" borderId="34" xfId="0" applyFill="1" applyBorder="1" applyAlignment="1" applyProtection="1">
      <alignment horizontal="center" vertical="center" wrapText="1"/>
      <protection hidden="1"/>
    </xf>
    <xf numFmtId="170" fontId="61" fillId="14" borderId="40" xfId="0" applyNumberFormat="1" applyFont="1" applyFill="1" applyBorder="1" applyAlignment="1" applyProtection="1">
      <alignment horizontal="center" vertical="center" wrapText="1"/>
      <protection hidden="1"/>
    </xf>
    <xf numFmtId="170" fontId="61" fillId="14" borderId="9" xfId="0" applyNumberFormat="1" applyFont="1" applyFill="1" applyBorder="1" applyAlignment="1" applyProtection="1">
      <alignment horizontal="center" vertical="center" wrapText="1"/>
      <protection hidden="1"/>
    </xf>
    <xf numFmtId="170" fontId="61" fillId="14" borderId="44" xfId="0" applyNumberFormat="1" applyFont="1" applyFill="1" applyBorder="1" applyAlignment="1" applyProtection="1">
      <alignment horizontal="center" vertical="center" wrapText="1"/>
      <protection hidden="1"/>
    </xf>
    <xf numFmtId="0" fontId="16" fillId="30" borderId="2" xfId="0" applyFont="1" applyFill="1" applyBorder="1" applyAlignment="1" applyProtection="1">
      <alignment horizontal="center" vertical="center" wrapText="1"/>
      <protection hidden="1"/>
    </xf>
    <xf numFmtId="0" fontId="16" fillId="30" borderId="4" xfId="0" applyFont="1" applyFill="1" applyBorder="1" applyAlignment="1" applyProtection="1">
      <alignment horizontal="center" vertical="center" wrapText="1"/>
      <protection hidden="1"/>
    </xf>
    <xf numFmtId="0" fontId="16" fillId="30" borderId="10" xfId="0" applyFont="1" applyFill="1" applyBorder="1" applyAlignment="1" applyProtection="1">
      <alignment horizontal="center" vertical="center" wrapText="1"/>
      <protection hidden="1"/>
    </xf>
    <xf numFmtId="0" fontId="16" fillId="30" borderId="49" xfId="0" applyFont="1" applyFill="1" applyBorder="1" applyAlignment="1" applyProtection="1">
      <alignment horizontal="center" vertical="center" wrapText="1"/>
      <protection hidden="1"/>
    </xf>
    <xf numFmtId="0" fontId="16" fillId="30" borderId="47" xfId="0" applyFont="1" applyFill="1" applyBorder="1" applyAlignment="1" applyProtection="1">
      <alignment horizontal="center" vertical="center" wrapText="1"/>
      <protection hidden="1"/>
    </xf>
    <xf numFmtId="0" fontId="16" fillId="30" borderId="38" xfId="0" applyFont="1" applyFill="1" applyBorder="1" applyAlignment="1" applyProtection="1">
      <alignment horizontal="center" vertical="center" wrapText="1"/>
      <protection hidden="1"/>
    </xf>
    <xf numFmtId="0" fontId="39" fillId="30" borderId="72" xfId="0" applyFont="1" applyFill="1" applyBorder="1" applyAlignment="1" applyProtection="1">
      <alignment horizontal="center" vertical="center" wrapText="1"/>
      <protection hidden="1"/>
    </xf>
    <xf numFmtId="0" fontId="39" fillId="30" borderId="45" xfId="0" applyFont="1" applyFill="1" applyBorder="1" applyAlignment="1" applyProtection="1">
      <alignment horizontal="center" vertical="center" wrapText="1"/>
      <protection hidden="1"/>
    </xf>
    <xf numFmtId="0" fontId="61" fillId="30" borderId="67" xfId="0" applyFont="1" applyFill="1" applyBorder="1" applyAlignment="1" applyProtection="1">
      <alignment horizontal="center" vertical="center" wrapText="1"/>
      <protection hidden="1"/>
    </xf>
    <xf numFmtId="0" fontId="0" fillId="30" borderId="53" xfId="0" applyFill="1" applyBorder="1" applyAlignment="1" applyProtection="1">
      <alignment horizontal="center" vertical="center" wrapText="1"/>
      <protection hidden="1"/>
    </xf>
    <xf numFmtId="3" fontId="39" fillId="30" borderId="29" xfId="0" applyNumberFormat="1" applyFont="1" applyFill="1" applyBorder="1" applyAlignment="1" applyProtection="1">
      <alignment horizontal="center" vertical="center" wrapText="1"/>
      <protection hidden="1"/>
    </xf>
    <xf numFmtId="0" fontId="39" fillId="14" borderId="39" xfId="0" applyFont="1" applyFill="1" applyBorder="1" applyAlignment="1" applyProtection="1">
      <alignment horizontal="center" vertical="center" wrapText="1"/>
      <protection hidden="1"/>
    </xf>
    <xf numFmtId="0" fontId="0" fillId="14" borderId="32" xfId="0" applyFill="1" applyBorder="1" applyAlignment="1" applyProtection="1">
      <alignment horizontal="center" vertical="center" wrapText="1"/>
      <protection hidden="1"/>
    </xf>
    <xf numFmtId="3" fontId="39" fillId="14" borderId="32" xfId="0" applyNumberFormat="1" applyFont="1" applyFill="1" applyBorder="1" applyAlignment="1" applyProtection="1">
      <alignment horizontal="center" vertical="center" wrapText="1"/>
      <protection hidden="1"/>
    </xf>
    <xf numFmtId="0" fontId="0" fillId="14" borderId="43" xfId="0" applyFill="1" applyBorder="1" applyAlignment="1" applyProtection="1">
      <alignment horizontal="center" vertical="center" wrapText="1"/>
      <protection hidden="1"/>
    </xf>
    <xf numFmtId="170" fontId="39" fillId="14" borderId="9" xfId="0" applyNumberFormat="1" applyFont="1" applyFill="1" applyBorder="1" applyAlignment="1" applyProtection="1">
      <alignment horizontal="center" vertical="center" wrapText="1"/>
      <protection hidden="1"/>
    </xf>
    <xf numFmtId="0" fontId="0" fillId="14" borderId="9" xfId="0" applyFill="1" applyBorder="1" applyAlignment="1" applyProtection="1">
      <alignment horizontal="center" vertical="center" wrapText="1"/>
      <protection hidden="1"/>
    </xf>
    <xf numFmtId="0" fontId="0" fillId="14" borderId="44" xfId="0" applyFill="1" applyBorder="1" applyAlignment="1" applyProtection="1">
      <alignment horizontal="center" vertical="center" wrapText="1"/>
      <protection hidden="1"/>
    </xf>
    <xf numFmtId="3" fontId="39" fillId="14" borderId="42" xfId="0" applyNumberFormat="1" applyFont="1" applyFill="1" applyBorder="1" applyAlignment="1" applyProtection="1">
      <alignment horizontal="center" vertical="center" wrapText="1"/>
      <protection hidden="1"/>
    </xf>
    <xf numFmtId="0" fontId="0" fillId="14" borderId="45" xfId="0" applyFill="1" applyBorder="1" applyAlignment="1" applyProtection="1">
      <alignment horizontal="center" vertical="center" wrapText="1"/>
      <protection hidden="1"/>
    </xf>
    <xf numFmtId="0" fontId="62" fillId="30" borderId="32" xfId="0" applyFont="1" applyFill="1" applyBorder="1" applyAlignment="1" applyProtection="1">
      <alignment horizontal="center" vertical="center"/>
      <protection hidden="1"/>
    </xf>
    <xf numFmtId="0" fontId="62" fillId="30" borderId="9" xfId="0" applyFont="1" applyFill="1" applyBorder="1" applyAlignment="1" applyProtection="1">
      <alignment horizontal="center" vertical="center"/>
      <protection hidden="1"/>
    </xf>
    <xf numFmtId="0" fontId="62" fillId="30" borderId="3" xfId="0" applyFont="1" applyFill="1" applyBorder="1" applyAlignment="1" applyProtection="1">
      <alignment horizontal="center" vertical="center"/>
      <protection hidden="1"/>
    </xf>
    <xf numFmtId="0" fontId="62" fillId="30" borderId="0" xfId="0" applyFont="1" applyFill="1" applyBorder="1" applyAlignment="1" applyProtection="1">
      <alignment horizontal="center" vertical="center"/>
      <protection hidden="1"/>
    </xf>
    <xf numFmtId="0" fontId="62" fillId="30" borderId="5" xfId="0" applyFont="1" applyFill="1" applyBorder="1" applyAlignment="1" applyProtection="1">
      <alignment horizontal="center" vertical="center"/>
      <protection hidden="1"/>
    </xf>
    <xf numFmtId="0" fontId="39" fillId="31" borderId="10" xfId="0" applyFont="1" applyFill="1" applyBorder="1" applyAlignment="1" applyProtection="1">
      <alignment horizontal="center" vertical="center" textRotation="90" wrapText="1"/>
      <protection hidden="1"/>
    </xf>
    <xf numFmtId="0" fontId="39" fillId="31" borderId="47" xfId="0" applyFont="1" applyFill="1" applyBorder="1" applyAlignment="1" applyProtection="1">
      <alignment horizontal="center" vertical="center" textRotation="90" wrapText="1"/>
      <protection hidden="1"/>
    </xf>
    <xf numFmtId="0" fontId="18" fillId="31" borderId="2" xfId="0" applyFont="1" applyFill="1" applyBorder="1" applyAlignment="1" applyProtection="1">
      <alignment horizontal="center" vertical="center" textRotation="90" wrapText="1"/>
      <protection hidden="1"/>
    </xf>
    <xf numFmtId="0" fontId="18" fillId="31" borderId="10" xfId="0" applyFont="1" applyFill="1" applyBorder="1" applyAlignment="1" applyProtection="1">
      <alignment horizontal="center" vertical="center" textRotation="90" wrapText="1"/>
      <protection hidden="1"/>
    </xf>
    <xf numFmtId="0" fontId="18" fillId="31" borderId="47" xfId="0" applyFont="1" applyFill="1" applyBorder="1" applyAlignment="1" applyProtection="1">
      <alignment horizontal="center" vertical="center" textRotation="90" wrapText="1"/>
      <protection hidden="1"/>
    </xf>
    <xf numFmtId="0" fontId="72" fillId="17" borderId="47" xfId="0" applyFont="1" applyFill="1" applyBorder="1" applyAlignment="1" applyProtection="1">
      <alignment horizontal="center" vertical="center"/>
      <protection hidden="1"/>
    </xf>
    <xf numFmtId="0" fontId="72" fillId="17" borderId="5" xfId="0" applyFont="1" applyFill="1" applyBorder="1" applyAlignment="1" applyProtection="1">
      <alignment horizontal="center" vertical="center"/>
      <protection hidden="1"/>
    </xf>
    <xf numFmtId="0" fontId="16" fillId="30" borderId="39" xfId="0" applyFont="1" applyFill="1" applyBorder="1" applyAlignment="1" applyProtection="1">
      <alignment horizontal="center" vertical="center"/>
      <protection hidden="1"/>
    </xf>
    <xf numFmtId="0" fontId="61" fillId="30" borderId="40" xfId="0" applyFont="1" applyFill="1" applyBorder="1" applyAlignment="1" applyProtection="1">
      <alignment horizontal="center" vertical="center"/>
      <protection hidden="1"/>
    </xf>
    <xf numFmtId="0" fontId="61" fillId="30" borderId="32" xfId="0" applyFont="1" applyFill="1" applyBorder="1" applyAlignment="1" applyProtection="1">
      <alignment horizontal="center" vertical="center"/>
      <protection hidden="1"/>
    </xf>
    <xf numFmtId="0" fontId="61" fillId="30" borderId="9" xfId="0" applyFont="1" applyFill="1" applyBorder="1" applyAlignment="1" applyProtection="1">
      <alignment horizontal="center" vertical="center"/>
      <protection hidden="1"/>
    </xf>
    <xf numFmtId="14" fontId="39" fillId="14" borderId="34" xfId="0" applyNumberFormat="1" applyFont="1" applyFill="1" applyBorder="1" applyAlignment="1" applyProtection="1">
      <alignment horizontal="center" vertical="center" wrapText="1"/>
      <protection hidden="1"/>
    </xf>
    <xf numFmtId="0" fontId="0" fillId="14" borderId="37" xfId="0" applyFill="1" applyBorder="1" applyAlignment="1" applyProtection="1">
      <alignment horizontal="center" vertical="center" wrapText="1"/>
      <protection hidden="1"/>
    </xf>
    <xf numFmtId="170" fontId="39" fillId="14" borderId="34" xfId="0" applyNumberFormat="1" applyFont="1" applyFill="1" applyBorder="1" applyAlignment="1" applyProtection="1">
      <alignment horizontal="center" vertical="center" wrapText="1"/>
      <protection hidden="1"/>
    </xf>
    <xf numFmtId="0" fontId="39" fillId="14" borderId="32" xfId="0" applyFont="1" applyFill="1" applyBorder="1" applyAlignment="1" applyProtection="1">
      <alignment horizontal="center" vertical="center" wrapText="1"/>
      <protection hidden="1"/>
    </xf>
    <xf numFmtId="0" fontId="62" fillId="30" borderId="43" xfId="0" applyFont="1" applyFill="1" applyBorder="1" applyAlignment="1" applyProtection="1">
      <alignment horizontal="center" vertical="center"/>
      <protection hidden="1"/>
    </xf>
    <xf numFmtId="0" fontId="62" fillId="30" borderId="44" xfId="0" applyFont="1" applyFill="1" applyBorder="1" applyAlignment="1" applyProtection="1">
      <alignment horizontal="center" vertical="center"/>
      <protection hidden="1"/>
    </xf>
    <xf numFmtId="0" fontId="39" fillId="14" borderId="34" xfId="0" applyFont="1" applyFill="1" applyBorder="1" applyAlignment="1" applyProtection="1">
      <alignment horizontal="center" vertical="center" wrapText="1"/>
      <protection hidden="1"/>
    </xf>
    <xf numFmtId="0" fontId="61" fillId="30" borderId="44" xfId="0" applyFont="1" applyFill="1" applyBorder="1" applyAlignment="1" applyProtection="1">
      <alignment horizontal="center" vertical="center"/>
      <protection hidden="1"/>
    </xf>
    <xf numFmtId="0" fontId="19" fillId="17" borderId="6" xfId="0" applyFont="1" applyFill="1" applyBorder="1" applyAlignment="1" applyProtection="1">
      <alignment horizontal="center" vertical="center" wrapText="1"/>
      <protection hidden="1"/>
    </xf>
    <xf numFmtId="0" fontId="19" fillId="17" borderId="7" xfId="0" applyFont="1" applyFill="1" applyBorder="1" applyAlignment="1" applyProtection="1">
      <alignment horizontal="center" vertical="center" wrapText="1"/>
      <protection hidden="1"/>
    </xf>
    <xf numFmtId="0" fontId="19" fillId="17" borderId="8" xfId="0" applyFont="1" applyFill="1" applyBorder="1" applyAlignment="1" applyProtection="1">
      <alignment horizontal="center" vertical="center" wrapText="1"/>
      <protection hidden="1"/>
    </xf>
    <xf numFmtId="0" fontId="39" fillId="31" borderId="71" xfId="0" applyFont="1" applyFill="1" applyBorder="1" applyAlignment="1" applyProtection="1">
      <alignment horizontal="center" vertical="center" textRotation="90"/>
      <protection hidden="1"/>
    </xf>
    <xf numFmtId="0" fontId="39" fillId="31" borderId="70" xfId="0" applyFont="1" applyFill="1" applyBorder="1" applyAlignment="1" applyProtection="1">
      <alignment horizontal="center" vertical="center" textRotation="90"/>
      <protection hidden="1"/>
    </xf>
    <xf numFmtId="0" fontId="39" fillId="31" borderId="50" xfId="0" applyFont="1" applyFill="1" applyBorder="1" applyAlignment="1" applyProtection="1">
      <alignment horizontal="center" vertical="center" textRotation="90"/>
      <protection hidden="1"/>
    </xf>
    <xf numFmtId="0" fontId="39" fillId="31" borderId="10" xfId="0" applyFont="1" applyFill="1" applyBorder="1" applyAlignment="1" applyProtection="1">
      <alignment horizontal="center" vertical="center" textRotation="90"/>
      <protection hidden="1"/>
    </xf>
    <xf numFmtId="0" fontId="39" fillId="31" borderId="47" xfId="0" applyFont="1" applyFill="1" applyBorder="1" applyAlignment="1" applyProtection="1">
      <alignment horizontal="center" vertical="center" textRotation="90"/>
      <protection hidden="1"/>
    </xf>
    <xf numFmtId="0" fontId="18" fillId="5" borderId="2" xfId="0" applyFont="1" applyFill="1" applyBorder="1" applyAlignment="1" applyProtection="1">
      <alignment horizontal="center" vertical="center" wrapText="1"/>
      <protection hidden="1"/>
    </xf>
    <xf numFmtId="0" fontId="18" fillId="5" borderId="4" xfId="0" applyFont="1" applyFill="1" applyBorder="1" applyAlignment="1" applyProtection="1">
      <alignment horizontal="center" vertical="center" wrapText="1"/>
      <protection hidden="1"/>
    </xf>
    <xf numFmtId="0" fontId="16" fillId="30" borderId="2" xfId="0" applyFont="1" applyFill="1" applyBorder="1" applyAlignment="1" applyProtection="1">
      <alignment horizontal="center" vertical="center"/>
      <protection hidden="1"/>
    </xf>
    <xf numFmtId="0" fontId="16" fillId="30" borderId="3" xfId="0" applyFont="1" applyFill="1" applyBorder="1" applyAlignment="1" applyProtection="1">
      <alignment horizontal="center" vertical="center"/>
      <protection hidden="1"/>
    </xf>
    <xf numFmtId="0" fontId="16" fillId="30" borderId="0" xfId="0" applyFont="1" applyFill="1" applyBorder="1" applyAlignment="1" applyProtection="1">
      <alignment horizontal="center" vertical="center"/>
      <protection hidden="1"/>
    </xf>
    <xf numFmtId="0" fontId="16" fillId="30" borderId="47" xfId="0" applyFont="1" applyFill="1" applyBorder="1" applyAlignment="1" applyProtection="1">
      <alignment horizontal="center" vertical="center"/>
      <protection hidden="1"/>
    </xf>
    <xf numFmtId="0" fontId="16" fillId="30" borderId="5" xfId="0" applyFont="1" applyFill="1" applyBorder="1" applyAlignment="1" applyProtection="1">
      <alignment horizontal="center" vertical="center"/>
      <protection hidden="1"/>
    </xf>
    <xf numFmtId="0" fontId="39" fillId="30" borderId="67" xfId="0" applyFont="1" applyFill="1" applyBorder="1" applyAlignment="1" applyProtection="1">
      <alignment horizontal="center" vertical="center" wrapText="1"/>
      <protection hidden="1"/>
    </xf>
    <xf numFmtId="170" fontId="39" fillId="14" borderId="40" xfId="0" applyNumberFormat="1" applyFont="1" applyFill="1" applyBorder="1" applyAlignment="1" applyProtection="1">
      <alignment horizontal="center" vertical="center" wrapText="1"/>
      <protection hidden="1"/>
    </xf>
    <xf numFmtId="0" fontId="39" fillId="31" borderId="67" xfId="0" applyFont="1" applyFill="1" applyBorder="1" applyAlignment="1" applyProtection="1">
      <alignment horizontal="center" vertical="center" wrapText="1"/>
      <protection hidden="1"/>
    </xf>
    <xf numFmtId="0" fontId="0" fillId="31" borderId="15" xfId="0" applyFill="1" applyBorder="1" applyAlignment="1" applyProtection="1">
      <alignment horizontal="center" vertical="center" wrapText="1"/>
      <protection hidden="1"/>
    </xf>
    <xf numFmtId="0" fontId="0" fillId="31" borderId="53" xfId="0" applyFill="1" applyBorder="1" applyAlignment="1" applyProtection="1">
      <alignment horizontal="center" vertical="center" wrapText="1"/>
      <protection hidden="1"/>
    </xf>
    <xf numFmtId="1" fontId="39" fillId="14" borderId="32" xfId="0" applyNumberFormat="1" applyFont="1" applyFill="1" applyBorder="1" applyAlignment="1" applyProtection="1">
      <alignment horizontal="center" vertical="center" wrapText="1"/>
      <protection hidden="1"/>
    </xf>
    <xf numFmtId="1" fontId="0" fillId="14" borderId="32" xfId="0" applyNumberFormat="1" applyFill="1" applyBorder="1" applyAlignment="1" applyProtection="1">
      <alignment horizontal="center" vertical="center" wrapText="1"/>
      <protection hidden="1"/>
    </xf>
    <xf numFmtId="1" fontId="0" fillId="14" borderId="43" xfId="0" applyNumberFormat="1" applyFill="1" applyBorder="1" applyAlignment="1" applyProtection="1">
      <alignment horizontal="center" vertical="center" wrapText="1"/>
      <protection hidden="1"/>
    </xf>
    <xf numFmtId="167" fontId="39" fillId="14" borderId="32" xfId="0" applyNumberFormat="1" applyFont="1" applyFill="1" applyBorder="1" applyAlignment="1" applyProtection="1">
      <alignment horizontal="center" vertical="center" wrapText="1"/>
      <protection hidden="1"/>
    </xf>
    <xf numFmtId="167" fontId="0" fillId="14" borderId="32" xfId="0" applyNumberFormat="1" applyFill="1" applyBorder="1" applyAlignment="1" applyProtection="1">
      <alignment horizontal="center" vertical="center" wrapText="1"/>
      <protection hidden="1"/>
    </xf>
    <xf numFmtId="0" fontId="7" fillId="18" borderId="19" xfId="0" applyFont="1" applyFill="1" applyBorder="1" applyAlignment="1" applyProtection="1">
      <alignment horizontal="center" vertical="center" wrapText="1"/>
      <protection hidden="1"/>
    </xf>
    <xf numFmtId="0" fontId="7" fillId="18" borderId="20" xfId="0" applyFont="1" applyFill="1" applyBorder="1" applyAlignment="1" applyProtection="1">
      <alignment horizontal="center" vertical="center" wrapText="1"/>
      <protection hidden="1"/>
    </xf>
    <xf numFmtId="0" fontId="37" fillId="17" borderId="19" xfId="0" applyFont="1" applyFill="1" applyBorder="1" applyAlignment="1" applyProtection="1">
      <alignment horizontal="center" wrapText="1"/>
      <protection hidden="1"/>
    </xf>
    <xf numFmtId="0" fontId="37" fillId="17" borderId="20" xfId="0" applyFont="1" applyFill="1" applyBorder="1" applyAlignment="1" applyProtection="1">
      <alignment horizontal="center" wrapText="1"/>
      <protection hidden="1"/>
    </xf>
    <xf numFmtId="0" fontId="61" fillId="14" borderId="41" xfId="0" applyFont="1" applyFill="1" applyBorder="1" applyAlignment="1" applyProtection="1">
      <alignment horizontal="center" vertical="center" wrapText="1"/>
      <protection hidden="1"/>
    </xf>
    <xf numFmtId="0" fontId="61" fillId="14" borderId="34" xfId="0" applyFont="1" applyFill="1" applyBorder="1" applyAlignment="1" applyProtection="1">
      <alignment horizontal="center" vertical="center" wrapText="1"/>
      <protection hidden="1"/>
    </xf>
    <xf numFmtId="0" fontId="61" fillId="14" borderId="37" xfId="0" applyFont="1" applyFill="1" applyBorder="1" applyAlignment="1" applyProtection="1">
      <alignment horizontal="center" vertical="center" wrapText="1"/>
      <protection hidden="1"/>
    </xf>
    <xf numFmtId="170" fontId="61" fillId="14" borderId="67" xfId="0" applyNumberFormat="1" applyFont="1" applyFill="1" applyBorder="1" applyAlignment="1" applyProtection="1">
      <alignment horizontal="center" vertical="center" wrapText="1"/>
      <protection hidden="1"/>
    </xf>
    <xf numFmtId="170" fontId="61" fillId="14" borderId="15" xfId="0" applyNumberFormat="1" applyFont="1" applyFill="1" applyBorder="1" applyAlignment="1" applyProtection="1">
      <alignment horizontal="center" vertical="center" wrapText="1"/>
      <protection hidden="1"/>
    </xf>
    <xf numFmtId="170" fontId="61" fillId="14" borderId="53" xfId="0" applyNumberFormat="1" applyFont="1" applyFill="1" applyBorder="1" applyAlignment="1" applyProtection="1">
      <alignment horizontal="center" vertical="center" wrapText="1"/>
      <protection hidden="1"/>
    </xf>
    <xf numFmtId="0" fontId="61" fillId="14" borderId="73" xfId="0" applyFont="1" applyFill="1" applyBorder="1" applyAlignment="1" applyProtection="1">
      <alignment horizontal="center" vertical="center" wrapText="1"/>
      <protection hidden="1"/>
    </xf>
    <xf numFmtId="0" fontId="61" fillId="14" borderId="65" xfId="0" applyFont="1" applyFill="1" applyBorder="1" applyAlignment="1" applyProtection="1">
      <alignment horizontal="center" vertical="center" wrapText="1"/>
      <protection hidden="1"/>
    </xf>
    <xf numFmtId="0" fontId="61" fillId="14" borderId="78" xfId="0" applyFont="1" applyFill="1" applyBorder="1" applyAlignment="1" applyProtection="1">
      <alignment horizontal="center" vertical="center" wrapText="1"/>
      <protection hidden="1"/>
    </xf>
    <xf numFmtId="49" fontId="39" fillId="30" borderId="29" xfId="0" applyNumberFormat="1" applyFont="1" applyFill="1" applyBorder="1" applyAlignment="1" applyProtection="1">
      <alignment horizontal="center" vertical="center" wrapText="1"/>
      <protection hidden="1"/>
    </xf>
    <xf numFmtId="0" fontId="18" fillId="18" borderId="6" xfId="0" applyFont="1" applyFill="1" applyBorder="1" applyAlignment="1" applyProtection="1">
      <alignment horizontal="center" vertical="center" wrapText="1"/>
      <protection hidden="1"/>
    </xf>
    <xf numFmtId="0" fontId="18" fillId="18" borderId="7" xfId="0" applyFont="1" applyFill="1" applyBorder="1" applyAlignment="1" applyProtection="1">
      <alignment horizontal="center" vertical="center" wrapText="1"/>
      <protection hidden="1"/>
    </xf>
    <xf numFmtId="0" fontId="18" fillId="18" borderId="8" xfId="0" applyFont="1" applyFill="1" applyBorder="1" applyAlignment="1" applyProtection="1">
      <alignment horizontal="center" vertical="center" wrapText="1"/>
      <protection hidden="1"/>
    </xf>
    <xf numFmtId="0" fontId="57" fillId="17" borderId="47" xfId="0" applyFont="1" applyFill="1" applyBorder="1" applyAlignment="1" applyProtection="1">
      <alignment horizontal="center" vertical="center"/>
      <protection hidden="1"/>
    </xf>
    <xf numFmtId="0" fontId="57" fillId="17" borderId="5" xfId="0" applyFont="1" applyFill="1" applyBorder="1" applyAlignment="1" applyProtection="1">
      <alignment horizontal="center" vertical="center"/>
      <protection hidden="1"/>
    </xf>
    <xf numFmtId="0" fontId="57" fillId="17" borderId="38" xfId="0" applyFont="1" applyFill="1" applyBorder="1" applyAlignment="1" applyProtection="1">
      <alignment horizontal="center" vertical="center"/>
      <protection hidden="1"/>
    </xf>
    <xf numFmtId="0" fontId="61" fillId="27" borderId="71" xfId="0" applyFont="1" applyFill="1" applyBorder="1" applyAlignment="1" applyProtection="1">
      <alignment horizontal="center" vertical="center"/>
      <protection hidden="1"/>
    </xf>
    <xf numFmtId="0" fontId="61" fillId="27" borderId="70" xfId="0" applyFont="1" applyFill="1" applyBorder="1" applyAlignment="1" applyProtection="1">
      <alignment horizontal="center" vertical="center"/>
      <protection hidden="1"/>
    </xf>
    <xf numFmtId="0" fontId="18" fillId="27" borderId="2" xfId="0" applyFont="1" applyFill="1" applyBorder="1" applyAlignment="1" applyProtection="1">
      <alignment horizontal="center" vertical="center" wrapText="1"/>
      <protection hidden="1"/>
    </xf>
    <xf numFmtId="0" fontId="18" fillId="27" borderId="3" xfId="0" applyFont="1" applyFill="1" applyBorder="1" applyAlignment="1" applyProtection="1">
      <alignment horizontal="center" vertical="center" wrapText="1"/>
      <protection hidden="1"/>
    </xf>
    <xf numFmtId="0" fontId="18" fillId="27" borderId="4" xfId="0" applyFont="1" applyFill="1" applyBorder="1" applyAlignment="1" applyProtection="1">
      <alignment horizontal="center" vertical="center" wrapText="1"/>
      <protection hidden="1"/>
    </xf>
    <xf numFmtId="0" fontId="18" fillId="27" borderId="10" xfId="0" applyFont="1" applyFill="1" applyBorder="1" applyAlignment="1" applyProtection="1">
      <alignment horizontal="center" vertical="center" wrapText="1"/>
      <protection hidden="1"/>
    </xf>
    <xf numFmtId="0" fontId="18" fillId="27" borderId="0" xfId="0" applyFont="1" applyFill="1" applyBorder="1" applyAlignment="1" applyProtection="1">
      <alignment horizontal="center" vertical="center" wrapText="1"/>
      <protection hidden="1"/>
    </xf>
    <xf numFmtId="0" fontId="18" fillId="27" borderId="49" xfId="0" applyFont="1" applyFill="1" applyBorder="1" applyAlignment="1" applyProtection="1">
      <alignment horizontal="center" vertical="center" wrapText="1"/>
      <protection hidden="1"/>
    </xf>
    <xf numFmtId="0" fontId="18" fillId="27" borderId="48" xfId="0" applyFont="1" applyFill="1" applyBorder="1" applyAlignment="1" applyProtection="1">
      <alignment horizontal="center" vertical="center" wrapText="1"/>
      <protection hidden="1"/>
    </xf>
    <xf numFmtId="0" fontId="18" fillId="27" borderId="26" xfId="0" applyFont="1" applyFill="1" applyBorder="1" applyAlignment="1" applyProtection="1">
      <alignment horizontal="center" vertical="center" wrapText="1"/>
      <protection hidden="1"/>
    </xf>
    <xf numFmtId="0" fontId="18" fillId="27" borderId="41" xfId="0" applyFont="1" applyFill="1" applyBorder="1" applyAlignment="1" applyProtection="1">
      <alignment horizontal="center" vertical="center" wrapText="1"/>
      <protection hidden="1"/>
    </xf>
    <xf numFmtId="0" fontId="18" fillId="27" borderId="60" xfId="0" applyFont="1" applyFill="1" applyBorder="1" applyAlignment="1" applyProtection="1">
      <alignment horizontal="center" vertical="center" wrapText="1"/>
      <protection hidden="1"/>
    </xf>
    <xf numFmtId="170" fontId="61" fillId="14" borderId="18" xfId="0" applyNumberFormat="1" applyFont="1" applyFill="1" applyBorder="1" applyAlignment="1" applyProtection="1">
      <alignment horizontal="center" vertical="center" wrapText="1"/>
      <protection hidden="1"/>
    </xf>
    <xf numFmtId="167" fontId="39" fillId="14" borderId="39" xfId="0" applyNumberFormat="1" applyFont="1" applyFill="1" applyBorder="1" applyAlignment="1" applyProtection="1">
      <alignment horizontal="center" vertical="center" wrapText="1"/>
      <protection hidden="1"/>
    </xf>
    <xf numFmtId="0" fontId="23" fillId="17" borderId="2" xfId="0" applyFont="1" applyFill="1" applyBorder="1" applyAlignment="1" applyProtection="1">
      <alignment horizontal="center" vertical="center"/>
      <protection hidden="1"/>
    </xf>
    <xf numFmtId="0" fontId="23" fillId="17" borderId="3" xfId="0" applyFont="1" applyFill="1" applyBorder="1" applyAlignment="1" applyProtection="1">
      <alignment horizontal="center" vertical="center"/>
      <protection hidden="1"/>
    </xf>
    <xf numFmtId="0" fontId="23" fillId="17" borderId="4" xfId="0" applyFont="1" applyFill="1" applyBorder="1" applyAlignment="1" applyProtection="1">
      <alignment horizontal="center" vertical="center"/>
      <protection hidden="1"/>
    </xf>
    <xf numFmtId="0" fontId="23" fillId="17" borderId="47" xfId="0" applyFont="1" applyFill="1" applyBorder="1" applyAlignment="1" applyProtection="1">
      <alignment horizontal="center" vertical="center"/>
      <protection hidden="1"/>
    </xf>
    <xf numFmtId="0" fontId="23" fillId="17" borderId="5" xfId="0" applyFont="1" applyFill="1" applyBorder="1" applyAlignment="1" applyProtection="1">
      <alignment horizontal="center" vertical="center"/>
      <protection hidden="1"/>
    </xf>
    <xf numFmtId="0" fontId="23" fillId="17" borderId="38" xfId="0" applyFont="1" applyFill="1" applyBorder="1" applyAlignment="1" applyProtection="1">
      <alignment horizontal="center" vertical="center"/>
      <protection hidden="1"/>
    </xf>
    <xf numFmtId="0" fontId="39" fillId="14" borderId="26" xfId="0" applyFont="1" applyFill="1" applyBorder="1" applyAlignment="1" applyProtection="1">
      <alignment horizontal="center" vertical="center"/>
      <protection hidden="1"/>
    </xf>
    <xf numFmtId="170" fontId="39" fillId="14" borderId="12" xfId="0" applyNumberFormat="1" applyFont="1" applyFill="1" applyBorder="1" applyAlignment="1" applyProtection="1">
      <alignment horizontal="center" vertical="center"/>
      <protection hidden="1"/>
    </xf>
    <xf numFmtId="170" fontId="39" fillId="14" borderId="53" xfId="0" applyNumberFormat="1" applyFont="1" applyFill="1" applyBorder="1" applyAlignment="1" applyProtection="1">
      <alignment horizontal="center" vertical="center"/>
      <protection hidden="1"/>
    </xf>
    <xf numFmtId="0" fontId="39" fillId="14" borderId="64" xfId="0" applyFont="1" applyFill="1" applyBorder="1" applyAlignment="1" applyProtection="1">
      <alignment horizontal="center" vertical="center"/>
      <protection hidden="1"/>
    </xf>
    <xf numFmtId="0" fontId="39" fillId="14" borderId="60" xfId="0" applyFont="1" applyFill="1" applyBorder="1" applyAlignment="1" applyProtection="1">
      <alignment horizontal="center" vertical="center"/>
      <protection hidden="1"/>
    </xf>
    <xf numFmtId="0" fontId="39" fillId="14" borderId="65" xfId="0" applyFont="1" applyFill="1" applyBorder="1" applyAlignment="1" applyProtection="1">
      <alignment horizontal="center" vertical="center"/>
      <protection hidden="1"/>
    </xf>
    <xf numFmtId="0" fontId="39" fillId="14" borderId="78" xfId="0" applyFont="1" applyFill="1" applyBorder="1" applyAlignment="1" applyProtection="1">
      <alignment horizontal="center" vertical="center"/>
      <protection hidden="1"/>
    </xf>
    <xf numFmtId="0" fontId="61" fillId="14" borderId="36" xfId="0" applyFont="1" applyFill="1" applyBorder="1" applyAlignment="1" applyProtection="1">
      <alignment horizontal="center" vertical="center" wrapText="1"/>
      <protection hidden="1"/>
    </xf>
    <xf numFmtId="14" fontId="39" fillId="14" borderId="60" xfId="0" applyNumberFormat="1" applyFont="1" applyFill="1" applyBorder="1" applyAlignment="1" applyProtection="1">
      <alignment horizontal="center" vertical="center"/>
      <protection hidden="1"/>
    </xf>
    <xf numFmtId="14" fontId="39" fillId="31" borderId="31" xfId="0" applyNumberFormat="1" applyFont="1" applyFill="1" applyBorder="1" applyAlignment="1" applyProtection="1">
      <alignment horizontal="center" vertical="center"/>
      <protection hidden="1"/>
    </xf>
    <xf numFmtId="14" fontId="39" fillId="31" borderId="11" xfId="0" applyNumberFormat="1" applyFont="1" applyFill="1" applyBorder="1" applyAlignment="1" applyProtection="1">
      <alignment horizontal="center" vertical="center"/>
      <protection hidden="1"/>
    </xf>
    <xf numFmtId="14" fontId="39" fillId="31" borderId="55" xfId="0" applyNumberFormat="1" applyFont="1" applyFill="1" applyBorder="1" applyAlignment="1" applyProtection="1">
      <alignment horizontal="center" vertical="center"/>
      <protection hidden="1"/>
    </xf>
    <xf numFmtId="0" fontId="44" fillId="4" borderId="6" xfId="0" applyFont="1" applyFill="1" applyBorder="1" applyAlignment="1" applyProtection="1">
      <alignment horizontal="center" vertical="center" wrapText="1"/>
      <protection hidden="1"/>
    </xf>
    <xf numFmtId="0" fontId="44" fillId="4" borderId="7" xfId="0" applyFont="1" applyFill="1" applyBorder="1" applyAlignment="1" applyProtection="1">
      <alignment horizontal="center" vertical="center" wrapText="1"/>
      <protection hidden="1"/>
    </xf>
    <xf numFmtId="0" fontId="44" fillId="4" borderId="8" xfId="0" applyFont="1" applyFill="1" applyBorder="1" applyAlignment="1" applyProtection="1">
      <alignment horizontal="center" vertical="center" wrapText="1"/>
      <protection hidden="1"/>
    </xf>
    <xf numFmtId="0" fontId="1" fillId="2" borderId="35"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20" fillId="2" borderId="43" xfId="0" applyFont="1" applyFill="1" applyBorder="1" applyAlignment="1" applyProtection="1">
      <alignment horizontal="center" vertical="center" wrapText="1"/>
      <protection hidden="1"/>
    </xf>
    <xf numFmtId="0" fontId="20" fillId="2" borderId="55" xfId="0" applyFont="1" applyFill="1" applyBorder="1" applyAlignment="1" applyProtection="1">
      <alignment horizontal="center" vertical="center" wrapText="1"/>
      <protection hidden="1"/>
    </xf>
    <xf numFmtId="0" fontId="45" fillId="5" borderId="39" xfId="0" applyFont="1" applyFill="1" applyBorder="1" applyAlignment="1" applyProtection="1">
      <alignment horizontal="center" vertical="center" wrapText="1"/>
      <protection hidden="1"/>
    </xf>
    <xf numFmtId="0" fontId="45" fillId="5" borderId="41" xfId="0" applyFont="1" applyFill="1" applyBorder="1" applyAlignment="1" applyProtection="1">
      <alignment horizontal="center" vertical="center" wrapText="1"/>
      <protection hidden="1"/>
    </xf>
    <xf numFmtId="0" fontId="30" fillId="5" borderId="56" xfId="0" applyFont="1" applyFill="1" applyBorder="1" applyAlignment="1" applyProtection="1">
      <alignment horizontal="justify" vertical="center" wrapText="1"/>
      <protection hidden="1"/>
    </xf>
    <xf numFmtId="0" fontId="30" fillId="5" borderId="61" xfId="0" applyFont="1" applyFill="1" applyBorder="1" applyAlignment="1" applyProtection="1">
      <alignment horizontal="justify" vertical="center" wrapText="1"/>
      <protection hidden="1"/>
    </xf>
    <xf numFmtId="0" fontId="44" fillId="8" borderId="6" xfId="0" applyFont="1" applyFill="1" applyBorder="1" applyAlignment="1" applyProtection="1">
      <alignment horizontal="center" vertical="center" wrapText="1"/>
      <protection hidden="1"/>
    </xf>
    <xf numFmtId="0" fontId="44" fillId="8" borderId="7" xfId="0" applyFont="1" applyFill="1" applyBorder="1" applyAlignment="1" applyProtection="1">
      <alignment horizontal="center" vertical="center" wrapText="1"/>
      <protection hidden="1"/>
    </xf>
    <xf numFmtId="0" fontId="44" fillId="8" borderId="8" xfId="0" applyFont="1" applyFill="1" applyBorder="1" applyAlignment="1" applyProtection="1">
      <alignment horizontal="center" vertical="center" wrapText="1"/>
      <protection hidden="1"/>
    </xf>
    <xf numFmtId="0" fontId="7" fillId="5" borderId="39" xfId="0" applyFont="1" applyFill="1" applyBorder="1" applyAlignment="1" applyProtection="1">
      <alignment horizontal="left" vertical="center" wrapText="1"/>
      <protection hidden="1"/>
    </xf>
    <xf numFmtId="0" fontId="7" fillId="5" borderId="41"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left" vertical="center" wrapText="1"/>
      <protection hidden="1"/>
    </xf>
    <xf numFmtId="0" fontId="7" fillId="5" borderId="34" xfId="0" applyFont="1" applyFill="1" applyBorder="1" applyAlignment="1" applyProtection="1">
      <alignment horizontal="left" vertical="center" wrapText="1"/>
      <protection hidden="1"/>
    </xf>
    <xf numFmtId="0" fontId="7" fillId="5" borderId="43" xfId="0" applyFont="1" applyFill="1" applyBorder="1" applyAlignment="1" applyProtection="1">
      <alignment horizontal="left" vertical="center" wrapText="1"/>
      <protection hidden="1"/>
    </xf>
    <xf numFmtId="0" fontId="7" fillId="5" borderId="37" xfId="0" applyFont="1" applyFill="1" applyBorder="1" applyAlignment="1" applyProtection="1">
      <alignment horizontal="left" vertical="center" wrapText="1"/>
      <protection hidden="1"/>
    </xf>
    <xf numFmtId="167" fontId="5" fillId="7" borderId="54" xfId="0" applyNumberFormat="1" applyFont="1" applyFill="1" applyBorder="1" applyAlignment="1" applyProtection="1">
      <alignment horizontal="center" vertical="center" wrapText="1"/>
      <protection hidden="1"/>
    </xf>
    <xf numFmtId="167" fontId="5" fillId="7" borderId="33" xfId="0" applyNumberFormat="1" applyFont="1" applyFill="1" applyBorder="1" applyAlignment="1" applyProtection="1">
      <alignment horizontal="center" vertical="center" wrapText="1"/>
      <protection hidden="1"/>
    </xf>
    <xf numFmtId="167" fontId="5" fillId="7" borderId="61" xfId="0" applyNumberFormat="1" applyFont="1" applyFill="1" applyBorder="1" applyAlignment="1" applyProtection="1">
      <alignment horizontal="center" vertical="center" wrapText="1"/>
      <protection hidden="1"/>
    </xf>
    <xf numFmtId="1" fontId="5" fillId="7" borderId="68" xfId="0" applyNumberFormat="1" applyFont="1" applyFill="1" applyBorder="1" applyAlignment="1" applyProtection="1">
      <alignment horizontal="center" vertical="center" wrapText="1"/>
      <protection hidden="1"/>
    </xf>
    <xf numFmtId="1" fontId="5" fillId="7" borderId="66" xfId="0" applyNumberFormat="1" applyFont="1" applyFill="1" applyBorder="1" applyAlignment="1" applyProtection="1">
      <alignment horizontal="center" vertical="center" wrapText="1"/>
      <protection hidden="1"/>
    </xf>
    <xf numFmtId="1" fontId="5" fillId="7" borderId="69" xfId="0" applyNumberFormat="1" applyFont="1" applyFill="1" applyBorder="1" applyAlignment="1" applyProtection="1">
      <alignment horizontal="center" vertical="center" wrapText="1"/>
      <protection hidden="1"/>
    </xf>
    <xf numFmtId="0" fontId="67" fillId="5" borderId="6" xfId="0" applyFont="1" applyFill="1" applyBorder="1" applyAlignment="1" applyProtection="1">
      <alignment horizontal="center" vertical="center" wrapText="1"/>
      <protection hidden="1"/>
    </xf>
    <xf numFmtId="0" fontId="67" fillId="5" borderId="7" xfId="0" applyFont="1" applyFill="1" applyBorder="1" applyAlignment="1" applyProtection="1">
      <alignment horizontal="center" vertical="center" wrapText="1"/>
      <protection hidden="1"/>
    </xf>
    <xf numFmtId="0" fontId="67" fillId="5" borderId="8" xfId="0" applyFont="1" applyFill="1" applyBorder="1" applyAlignment="1" applyProtection="1">
      <alignment horizontal="center" vertical="center" wrapText="1"/>
      <protection hidden="1"/>
    </xf>
    <xf numFmtId="0" fontId="30" fillId="5" borderId="35" xfId="0" applyFont="1" applyFill="1" applyBorder="1" applyAlignment="1" applyProtection="1">
      <alignment horizontal="justify" vertical="center" wrapText="1"/>
      <protection hidden="1"/>
    </xf>
    <xf numFmtId="0" fontId="30" fillId="5" borderId="33" xfId="0" applyFont="1" applyFill="1" applyBorder="1" applyAlignment="1" applyProtection="1">
      <alignment horizontal="justify" vertical="center" wrapText="1"/>
      <protection hidden="1"/>
    </xf>
    <xf numFmtId="0" fontId="30" fillId="5" borderId="35" xfId="0" applyFont="1" applyFill="1" applyBorder="1" applyAlignment="1" applyProtection="1">
      <alignment horizontal="left" vertical="center" wrapText="1"/>
      <protection hidden="1"/>
    </xf>
    <xf numFmtId="0" fontId="30" fillId="5" borderId="33" xfId="0" applyFont="1" applyFill="1" applyBorder="1" applyAlignment="1" applyProtection="1">
      <alignment horizontal="left" vertical="center" wrapText="1"/>
      <protection hidden="1"/>
    </xf>
    <xf numFmtId="0" fontId="30" fillId="5" borderId="58" xfId="0" applyFont="1" applyFill="1" applyBorder="1" applyAlignment="1" applyProtection="1">
      <alignment horizontal="left" vertical="center" wrapText="1"/>
      <protection hidden="1"/>
    </xf>
    <xf numFmtId="0" fontId="30" fillId="5" borderId="54" xfId="0" applyFont="1" applyFill="1" applyBorder="1" applyAlignment="1" applyProtection="1">
      <alignment horizontal="left" vertical="center" wrapText="1"/>
      <protection hidden="1"/>
    </xf>
    <xf numFmtId="0" fontId="30" fillId="5" borderId="56" xfId="0" applyFont="1" applyFill="1" applyBorder="1" applyAlignment="1" applyProtection="1">
      <alignment horizontal="left" vertical="center" wrapText="1"/>
      <protection hidden="1"/>
    </xf>
    <xf numFmtId="0" fontId="30" fillId="5" borderId="61" xfId="0" applyFont="1" applyFill="1" applyBorder="1" applyAlignment="1" applyProtection="1">
      <alignment horizontal="left" vertical="center" wrapText="1"/>
      <protection hidden="1"/>
    </xf>
    <xf numFmtId="0" fontId="23" fillId="4" borderId="6" xfId="0" applyFont="1" applyFill="1" applyBorder="1" applyAlignment="1" applyProtection="1">
      <alignment horizontal="center" vertical="center" wrapText="1"/>
      <protection hidden="1"/>
    </xf>
    <xf numFmtId="0" fontId="23" fillId="4" borderId="7" xfId="0" applyFont="1" applyFill="1" applyBorder="1" applyAlignment="1" applyProtection="1">
      <alignment horizontal="center" vertical="center" wrapText="1"/>
      <protection hidden="1"/>
    </xf>
    <xf numFmtId="0" fontId="23" fillId="4" borderId="8" xfId="0" applyFont="1" applyFill="1" applyBorder="1" applyAlignment="1" applyProtection="1">
      <alignment horizontal="center" vertical="center" wrapText="1"/>
      <protection hidden="1"/>
    </xf>
    <xf numFmtId="0" fontId="1" fillId="5" borderId="6"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30" fillId="5" borderId="58" xfId="0" applyFont="1" applyFill="1" applyBorder="1" applyAlignment="1" applyProtection="1">
      <alignment horizontal="center" vertical="top" wrapText="1"/>
      <protection hidden="1"/>
    </xf>
    <xf numFmtId="0" fontId="30" fillId="5" borderId="54" xfId="0" applyFont="1" applyFill="1" applyBorder="1" applyAlignment="1" applyProtection="1">
      <alignment horizontal="center" vertical="top" wrapText="1"/>
      <protection hidden="1"/>
    </xf>
    <xf numFmtId="0" fontId="39" fillId="2" borderId="0" xfId="0" applyFont="1" applyFill="1" applyBorder="1" applyAlignment="1" applyProtection="1">
      <alignment horizontal="center" vertical="center" wrapText="1"/>
      <protection hidden="1"/>
    </xf>
    <xf numFmtId="0" fontId="35" fillId="2" borderId="10" xfId="0" applyFont="1" applyFill="1" applyBorder="1" applyAlignment="1" applyProtection="1">
      <alignment horizontal="center" vertical="center" wrapText="1"/>
      <protection hidden="1"/>
    </xf>
    <xf numFmtId="0" fontId="35" fillId="2" borderId="0" xfId="0" applyFont="1" applyFill="1" applyBorder="1" applyAlignment="1" applyProtection="1">
      <alignment horizontal="center" vertical="center" wrapText="1"/>
      <protection hidden="1"/>
    </xf>
    <xf numFmtId="0" fontId="3" fillId="5" borderId="35" xfId="0" applyFont="1" applyFill="1" applyBorder="1" applyAlignment="1" applyProtection="1">
      <alignment horizontal="left" vertical="center" wrapText="1"/>
      <protection hidden="1"/>
    </xf>
    <xf numFmtId="0" fontId="3" fillId="5" borderId="23" xfId="0" applyFont="1" applyFill="1" applyBorder="1" applyAlignment="1" applyProtection="1">
      <alignment horizontal="left" vertical="center" wrapText="1"/>
      <protection hidden="1"/>
    </xf>
    <xf numFmtId="0" fontId="35" fillId="4" borderId="35" xfId="0" applyFont="1" applyFill="1" applyBorder="1" applyAlignment="1" applyProtection="1">
      <alignment horizontal="center" vertical="center" wrapText="1"/>
      <protection hidden="1"/>
    </xf>
    <xf numFmtId="0" fontId="35" fillId="4" borderId="23" xfId="0" applyFont="1" applyFill="1" applyBorder="1" applyAlignment="1" applyProtection="1">
      <alignment horizontal="center" vertical="center" wrapText="1"/>
      <protection hidden="1"/>
    </xf>
    <xf numFmtId="0" fontId="35" fillId="4" borderId="14" xfId="0" applyFont="1" applyFill="1" applyBorder="1" applyAlignment="1" applyProtection="1">
      <alignment horizontal="center" vertical="center" wrapText="1"/>
      <protection hidden="1"/>
    </xf>
    <xf numFmtId="0" fontId="19" fillId="4" borderId="56" xfId="0" applyFont="1" applyFill="1" applyBorder="1" applyAlignment="1" applyProtection="1">
      <alignment horizontal="center" vertical="center" wrapText="1"/>
      <protection hidden="1"/>
    </xf>
    <xf numFmtId="0" fontId="19" fillId="4" borderId="62" xfId="0" applyFont="1" applyFill="1" applyBorder="1" applyAlignment="1" applyProtection="1">
      <alignment horizontal="center" vertical="center" wrapText="1"/>
      <protection hidden="1"/>
    </xf>
    <xf numFmtId="0" fontId="19" fillId="4" borderId="57" xfId="0" applyFont="1" applyFill="1" applyBorder="1" applyAlignment="1" applyProtection="1">
      <alignment horizontal="center" vertical="center" wrapText="1"/>
      <protection hidden="1"/>
    </xf>
    <xf numFmtId="0" fontId="5" fillId="5" borderId="71" xfId="0" applyFont="1" applyFill="1" applyBorder="1" applyAlignment="1" applyProtection="1">
      <alignment horizontal="center" vertical="center" wrapText="1"/>
      <protection hidden="1"/>
    </xf>
    <xf numFmtId="0" fontId="5" fillId="5" borderId="50" xfId="0" applyFont="1" applyFill="1" applyBorder="1" applyAlignment="1" applyProtection="1">
      <alignment horizontal="center" vertical="center" wrapText="1"/>
      <protection hidden="1"/>
    </xf>
    <xf numFmtId="0" fontId="7" fillId="5" borderId="32" xfId="0"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0" fontId="5" fillId="5" borderId="70" xfId="0" applyFont="1" applyFill="1" applyBorder="1" applyAlignment="1" applyProtection="1">
      <alignment horizontal="center" vertical="center" wrapText="1"/>
      <protection hidden="1"/>
    </xf>
    <xf numFmtId="0" fontId="4" fillId="5" borderId="6" xfId="0" applyFont="1" applyFill="1" applyBorder="1" applyAlignment="1" applyProtection="1">
      <alignment horizontal="center" vertical="center" wrapText="1"/>
      <protection hidden="1"/>
    </xf>
    <xf numFmtId="0" fontId="4" fillId="5" borderId="7" xfId="0" applyFont="1" applyFill="1" applyBorder="1" applyAlignment="1" applyProtection="1">
      <alignment horizontal="center" vertical="center" wrapText="1"/>
      <protection hidden="1"/>
    </xf>
    <xf numFmtId="0" fontId="4" fillId="5" borderId="8" xfId="0" applyFont="1" applyFill="1" applyBorder="1" applyAlignment="1" applyProtection="1">
      <alignment horizontal="center" vertical="center" wrapText="1"/>
      <protection hidden="1"/>
    </xf>
    <xf numFmtId="0" fontId="7" fillId="16" borderId="30" xfId="0" applyFont="1" applyFill="1" applyBorder="1" applyAlignment="1" applyProtection="1">
      <alignment horizontal="center" vertical="center" wrapText="1"/>
      <protection hidden="1"/>
    </xf>
    <xf numFmtId="0" fontId="7" fillId="16" borderId="18" xfId="0" applyFont="1" applyFill="1" applyBorder="1" applyAlignment="1" applyProtection="1">
      <alignment horizontal="center" vertical="center" wrapText="1"/>
      <protection hidden="1"/>
    </xf>
    <xf numFmtId="0" fontId="1" fillId="16" borderId="6"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0" fontId="20" fillId="6" borderId="28" xfId="0" applyNumberFormat="1" applyFont="1" applyFill="1" applyBorder="1" applyAlignment="1" applyProtection="1">
      <alignment horizontal="center" vertical="center" wrapText="1"/>
      <protection hidden="1"/>
    </xf>
    <xf numFmtId="0" fontId="20" fillId="6" borderId="7" xfId="0" applyNumberFormat="1" applyFont="1" applyFill="1" applyBorder="1" applyAlignment="1" applyProtection="1">
      <alignment horizontal="center" vertical="center" wrapText="1"/>
      <protection hidden="1"/>
    </xf>
    <xf numFmtId="0" fontId="20" fillId="6" borderId="8" xfId="0" applyNumberFormat="1" applyFont="1" applyFill="1" applyBorder="1" applyAlignment="1" applyProtection="1">
      <alignment horizontal="center" vertical="center" wrapText="1"/>
      <protection hidden="1"/>
    </xf>
    <xf numFmtId="0" fontId="3" fillId="16" borderId="43" xfId="0" applyFont="1" applyFill="1" applyBorder="1" applyAlignment="1" applyProtection="1">
      <alignment horizontal="center" vertical="center" wrapText="1"/>
      <protection hidden="1"/>
    </xf>
    <xf numFmtId="0" fontId="3" fillId="16" borderId="44" xfId="0" applyFont="1" applyFill="1" applyBorder="1" applyAlignment="1" applyProtection="1">
      <alignment horizontal="center" vertical="center" wrapText="1"/>
      <protection hidden="1"/>
    </xf>
    <xf numFmtId="0" fontId="7" fillId="14" borderId="6" xfId="0" applyFont="1" applyFill="1" applyBorder="1" applyAlignment="1" applyProtection="1">
      <alignment horizontal="center" vertical="center" wrapText="1"/>
      <protection hidden="1"/>
    </xf>
    <xf numFmtId="0" fontId="7" fillId="14" borderId="7" xfId="0" applyFont="1" applyFill="1" applyBorder="1" applyAlignment="1" applyProtection="1">
      <alignment horizontal="center" vertical="center" wrapText="1"/>
      <protection hidden="1"/>
    </xf>
    <xf numFmtId="0" fontId="7" fillId="14" borderId="8" xfId="0" applyFont="1" applyFill="1" applyBorder="1" applyAlignment="1" applyProtection="1">
      <alignment horizontal="center" vertical="center" wrapText="1"/>
      <protection hidden="1"/>
    </xf>
    <xf numFmtId="0" fontId="30" fillId="14" borderId="6" xfId="0" applyFont="1" applyFill="1" applyBorder="1" applyAlignment="1" applyProtection="1">
      <alignment horizontal="center" vertical="center" wrapText="1"/>
      <protection hidden="1"/>
    </xf>
    <xf numFmtId="0" fontId="30" fillId="14" borderId="7" xfId="0" applyFont="1" applyFill="1" applyBorder="1" applyAlignment="1" applyProtection="1">
      <alignment horizontal="center" vertical="center" wrapText="1"/>
      <protection hidden="1"/>
    </xf>
    <xf numFmtId="0" fontId="30" fillId="14" borderId="8" xfId="0" applyFont="1" applyFill="1" applyBorder="1" applyAlignment="1" applyProtection="1">
      <alignment horizontal="center" vertical="center" wrapText="1"/>
      <protection hidden="1"/>
    </xf>
    <xf numFmtId="0" fontId="56" fillId="25" borderId="6" xfId="0" applyFont="1" applyFill="1" applyBorder="1" applyAlignment="1" applyProtection="1">
      <alignment horizontal="center" vertical="center" wrapText="1"/>
      <protection hidden="1"/>
    </xf>
    <xf numFmtId="0" fontId="56" fillId="25" borderId="7" xfId="0" applyFont="1" applyFill="1" applyBorder="1" applyAlignment="1" applyProtection="1">
      <alignment horizontal="center" vertical="center" wrapText="1"/>
      <protection hidden="1"/>
    </xf>
    <xf numFmtId="0" fontId="56" fillId="25" borderId="8" xfId="0" applyFont="1" applyFill="1" applyBorder="1" applyAlignment="1" applyProtection="1">
      <alignment horizontal="center" vertical="center" wrapText="1"/>
      <protection hidden="1"/>
    </xf>
    <xf numFmtId="0" fontId="23" fillId="25" borderId="6" xfId="0" applyFont="1" applyFill="1" applyBorder="1" applyAlignment="1" applyProtection="1">
      <alignment horizontal="center" vertical="center" wrapText="1"/>
      <protection hidden="1"/>
    </xf>
    <xf numFmtId="0" fontId="23" fillId="25" borderId="7" xfId="0" applyFont="1" applyFill="1" applyBorder="1" applyAlignment="1" applyProtection="1">
      <alignment horizontal="center" vertical="center" wrapText="1"/>
      <protection hidden="1"/>
    </xf>
    <xf numFmtId="0" fontId="6" fillId="21" borderId="58" xfId="0" applyFont="1" applyFill="1" applyBorder="1" applyAlignment="1" applyProtection="1">
      <alignment horizontal="center" vertical="center" wrapText="1"/>
      <protection hidden="1"/>
    </xf>
    <xf numFmtId="0" fontId="6" fillId="21" borderId="59" xfId="0" applyFont="1" applyFill="1" applyBorder="1" applyAlignment="1" applyProtection="1">
      <alignment horizontal="center" vertical="center" wrapText="1"/>
      <protection hidden="1"/>
    </xf>
    <xf numFmtId="0" fontId="6" fillId="21" borderId="48" xfId="0" applyFont="1" applyFill="1" applyBorder="1" applyAlignment="1" applyProtection="1">
      <alignment horizontal="center" vertical="center" wrapText="1"/>
      <protection hidden="1"/>
    </xf>
    <xf numFmtId="0" fontId="6" fillId="16" borderId="31" xfId="0" applyFont="1" applyFill="1" applyBorder="1" applyAlignment="1" applyProtection="1">
      <alignment horizontal="center" vertical="center" wrapText="1"/>
      <protection hidden="1"/>
    </xf>
    <xf numFmtId="0" fontId="6" fillId="16" borderId="59" xfId="0" applyFont="1" applyFill="1" applyBorder="1" applyAlignment="1" applyProtection="1">
      <alignment horizontal="center" vertical="center" wrapText="1"/>
      <protection hidden="1"/>
    </xf>
    <xf numFmtId="0" fontId="6" fillId="16" borderId="48" xfId="0" applyFont="1" applyFill="1" applyBorder="1" applyAlignment="1" applyProtection="1">
      <alignment horizontal="center" vertical="center" wrapText="1"/>
      <protection hidden="1"/>
    </xf>
    <xf numFmtId="0" fontId="3" fillId="16" borderId="32" xfId="0" applyFont="1" applyFill="1" applyBorder="1" applyAlignment="1" applyProtection="1">
      <alignment horizontal="center" vertical="center" wrapText="1"/>
      <protection hidden="1"/>
    </xf>
    <xf numFmtId="0" fontId="3" fillId="16" borderId="9" xfId="0" applyFont="1" applyFill="1" applyBorder="1" applyAlignment="1" applyProtection="1">
      <alignment horizontal="center" vertical="center" wrapText="1"/>
      <protection hidden="1"/>
    </xf>
    <xf numFmtId="0" fontId="8" fillId="5" borderId="72" xfId="0" applyFont="1" applyFill="1" applyBorder="1" applyAlignment="1" applyProtection="1">
      <alignment horizontal="center" vertical="center" wrapText="1"/>
      <protection hidden="1"/>
    </xf>
    <xf numFmtId="0" fontId="8" fillId="5" borderId="45" xfId="0" applyFont="1" applyFill="1" applyBorder="1" applyAlignment="1" applyProtection="1">
      <alignment horizontal="center" vertical="center" wrapText="1"/>
      <protection hidden="1"/>
    </xf>
    <xf numFmtId="0" fontId="8" fillId="16" borderId="41" xfId="0" applyFont="1" applyFill="1" applyBorder="1" applyAlignment="1" applyProtection="1">
      <alignment horizontal="center" vertical="center" wrapText="1"/>
      <protection hidden="1"/>
    </xf>
    <xf numFmtId="0" fontId="8" fillId="16" borderId="37" xfId="0"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2" fillId="6" borderId="19" xfId="0" applyFont="1" applyFill="1" applyBorder="1" applyAlignment="1" applyProtection="1">
      <alignment horizontal="center" vertical="center" wrapText="1"/>
      <protection locked="0" hidden="1"/>
    </xf>
    <xf numFmtId="0" fontId="2" fillId="6" borderId="20" xfId="0" applyFont="1" applyFill="1" applyBorder="1" applyAlignment="1" applyProtection="1">
      <alignment horizontal="center" vertical="center" wrapText="1"/>
      <protection locked="0" hidden="1"/>
    </xf>
    <xf numFmtId="0" fontId="1" fillId="5" borderId="8" xfId="0" applyFont="1" applyFill="1" applyBorder="1" applyAlignment="1" applyProtection="1">
      <alignment horizontal="center" vertical="center" wrapText="1"/>
      <protection hidden="1"/>
    </xf>
    <xf numFmtId="0" fontId="2" fillId="6" borderId="6" xfId="0" applyFont="1" applyFill="1" applyBorder="1" applyAlignment="1" applyProtection="1">
      <alignment horizontal="center" vertical="center" wrapText="1"/>
      <protection locked="0" hidden="1"/>
    </xf>
    <xf numFmtId="0" fontId="2" fillId="6" borderId="8" xfId="0" applyFont="1" applyFill="1" applyBorder="1" applyAlignment="1" applyProtection="1">
      <alignment horizontal="center" vertical="center" wrapText="1"/>
      <protection locked="0" hidden="1"/>
    </xf>
    <xf numFmtId="0" fontId="26" fillId="5" borderId="72" xfId="0" applyFont="1" applyFill="1" applyBorder="1" applyAlignment="1" applyProtection="1">
      <alignment horizontal="center" vertical="center" wrapText="1"/>
      <protection hidden="1"/>
    </xf>
    <xf numFmtId="0" fontId="26" fillId="5" borderId="30" xfId="0" applyFont="1" applyFill="1" applyBorder="1" applyAlignment="1" applyProtection="1">
      <alignment horizontal="center" vertical="center" wrapText="1"/>
      <protection hidden="1"/>
    </xf>
    <xf numFmtId="0" fontId="26" fillId="5" borderId="67" xfId="0" applyFont="1" applyFill="1" applyBorder="1" applyAlignment="1" applyProtection="1">
      <alignment horizontal="center" vertical="center" wrapText="1"/>
      <protection hidden="1"/>
    </xf>
    <xf numFmtId="0" fontId="26" fillId="5" borderId="18" xfId="0" applyFont="1" applyFill="1" applyBorder="1" applyAlignment="1" applyProtection="1">
      <alignment horizontal="center" vertical="center" wrapText="1"/>
      <protection hidden="1"/>
    </xf>
    <xf numFmtId="0" fontId="26" fillId="5" borderId="73" xfId="0" applyFont="1" applyFill="1" applyBorder="1" applyAlignment="1" applyProtection="1">
      <alignment horizontal="center" vertical="center" wrapText="1"/>
      <protection hidden="1"/>
    </xf>
    <xf numFmtId="0" fontId="26" fillId="5" borderId="36" xfId="0" applyFont="1" applyFill="1" applyBorder="1" applyAlignment="1" applyProtection="1">
      <alignment horizontal="center" vertical="center" wrapText="1"/>
      <protection hidden="1"/>
    </xf>
    <xf numFmtId="1" fontId="20" fillId="12" borderId="12" xfId="0" applyNumberFormat="1" applyFont="1" applyFill="1" applyBorder="1" applyAlignment="1" applyProtection="1">
      <alignment horizontal="center" vertical="center" wrapText="1"/>
      <protection hidden="1"/>
    </xf>
    <xf numFmtId="1" fontId="20" fillId="12" borderId="18" xfId="0" applyNumberFormat="1" applyFont="1" applyFill="1" applyBorder="1" applyAlignment="1" applyProtection="1">
      <alignment horizontal="center" vertical="center" wrapText="1"/>
      <protection hidden="1"/>
    </xf>
    <xf numFmtId="1" fontId="20" fillId="15" borderId="12" xfId="0" applyNumberFormat="1" applyFont="1" applyFill="1" applyBorder="1" applyAlignment="1" applyProtection="1">
      <alignment horizontal="center" vertical="center" wrapText="1"/>
      <protection hidden="1"/>
    </xf>
    <xf numFmtId="1" fontId="20" fillId="15" borderId="18" xfId="0" applyNumberFormat="1" applyFont="1" applyFill="1" applyBorder="1" applyAlignment="1" applyProtection="1">
      <alignment horizontal="center" vertical="center" wrapText="1"/>
      <protection hidden="1"/>
    </xf>
    <xf numFmtId="164" fontId="20" fillId="19" borderId="9" xfId="0" applyNumberFormat="1" applyFont="1" applyFill="1" applyBorder="1" applyAlignment="1" applyProtection="1">
      <alignment horizontal="center" vertical="center" wrapText="1"/>
      <protection hidden="1"/>
    </xf>
    <xf numFmtId="0" fontId="4" fillId="16" borderId="7"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0" fontId="4" fillId="16" borderId="28" xfId="0" applyFont="1" applyFill="1" applyBorder="1" applyAlignment="1" applyProtection="1">
      <alignment horizontal="center" vertical="center" wrapText="1"/>
      <protection hidden="1"/>
    </xf>
    <xf numFmtId="0" fontId="4" fillId="16" borderId="8" xfId="0" applyFont="1" applyFill="1" applyBorder="1" applyAlignment="1" applyProtection="1">
      <alignment horizontal="center" vertical="center" wrapText="1"/>
      <protection hidden="1"/>
    </xf>
    <xf numFmtId="14" fontId="20" fillId="12" borderId="12" xfId="0" applyNumberFormat="1" applyFont="1" applyFill="1" applyBorder="1" applyAlignment="1" applyProtection="1">
      <alignment horizontal="center" vertical="center" wrapText="1"/>
      <protection hidden="1"/>
    </xf>
    <xf numFmtId="14" fontId="20" fillId="12" borderId="18" xfId="0" applyNumberFormat="1" applyFont="1" applyFill="1" applyBorder="1" applyAlignment="1" applyProtection="1">
      <alignment horizontal="center" vertical="center" wrapText="1"/>
      <protection hidden="1"/>
    </xf>
    <xf numFmtId="0" fontId="20" fillId="2" borderId="6" xfId="0" applyFont="1" applyFill="1" applyBorder="1" applyAlignment="1" applyProtection="1">
      <alignment horizontal="center" vertical="center" wrapText="1"/>
      <protection hidden="1"/>
    </xf>
    <xf numFmtId="0" fontId="20" fillId="2" borderId="7"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0" fontId="14" fillId="0" borderId="7" xfId="0" applyFont="1" applyFill="1" applyBorder="1" applyAlignment="1" applyProtection="1">
      <alignment horizontal="center" vertical="center" wrapText="1"/>
      <protection hidden="1"/>
    </xf>
    <xf numFmtId="0" fontId="14" fillId="0" borderId="8" xfId="0" applyFont="1" applyFill="1" applyBorder="1" applyAlignment="1" applyProtection="1">
      <alignment horizontal="center" vertical="center" wrapText="1"/>
      <protection hidden="1"/>
    </xf>
    <xf numFmtId="170" fontId="20" fillId="19" borderId="28" xfId="0" applyNumberFormat="1" applyFont="1" applyFill="1" applyBorder="1" applyAlignment="1" applyProtection="1">
      <alignment horizontal="center" vertical="center" wrapText="1"/>
      <protection hidden="1"/>
    </xf>
    <xf numFmtId="170" fontId="20" fillId="19" borderId="21" xfId="0" applyNumberFormat="1" applyFont="1" applyFill="1" applyBorder="1" applyAlignment="1" applyProtection="1">
      <alignment horizontal="center" vertical="center" wrapText="1"/>
      <protection hidden="1"/>
    </xf>
    <xf numFmtId="14" fontId="20" fillId="19" borderId="22" xfId="0" applyNumberFormat="1" applyFont="1" applyFill="1" applyBorder="1" applyAlignment="1" applyProtection="1">
      <alignment horizontal="center" vertical="center" wrapText="1"/>
      <protection hidden="1"/>
    </xf>
    <xf numFmtId="14" fontId="20" fillId="19" borderId="20" xfId="0" applyNumberFormat="1" applyFont="1" applyFill="1" applyBorder="1" applyAlignment="1" applyProtection="1">
      <alignment horizontal="center" vertical="center" wrapText="1"/>
      <protection hidden="1"/>
    </xf>
    <xf numFmtId="0" fontId="20" fillId="19" borderId="12" xfId="0" applyFont="1" applyFill="1" applyBorder="1" applyAlignment="1" applyProtection="1">
      <alignment horizontal="center" vertical="center" wrapText="1"/>
      <protection hidden="1"/>
    </xf>
    <xf numFmtId="0" fontId="20" fillId="19" borderId="18" xfId="0" applyFont="1" applyFill="1" applyBorder="1" applyAlignment="1" applyProtection="1">
      <alignment horizontal="center" vertical="center" wrapText="1"/>
      <protection hidden="1"/>
    </xf>
    <xf numFmtId="0" fontId="7" fillId="16" borderId="58" xfId="0" applyFont="1" applyFill="1" applyBorder="1" applyAlignment="1" applyProtection="1">
      <alignment horizontal="left" vertical="center" wrapText="1"/>
      <protection hidden="1"/>
    </xf>
    <xf numFmtId="0" fontId="7" fillId="16" borderId="54" xfId="0" applyFont="1" applyFill="1" applyBorder="1" applyAlignment="1" applyProtection="1">
      <alignment horizontal="left" vertical="center" wrapText="1"/>
      <protection hidden="1"/>
    </xf>
    <xf numFmtId="0" fontId="20" fillId="12" borderId="23" xfId="0" applyFont="1" applyFill="1" applyBorder="1" applyAlignment="1" applyProtection="1">
      <alignment horizontal="center" vertical="center" wrapText="1"/>
      <protection hidden="1"/>
    </xf>
    <xf numFmtId="0" fontId="20" fillId="12" borderId="14" xfId="0" applyFont="1" applyFill="1" applyBorder="1" applyAlignment="1" applyProtection="1">
      <alignment horizontal="center" vertical="center" wrapText="1"/>
      <protection hidden="1"/>
    </xf>
    <xf numFmtId="0" fontId="20" fillId="12" borderId="27" xfId="0" applyFont="1" applyFill="1" applyBorder="1" applyAlignment="1" applyProtection="1">
      <alignment horizontal="center" vertical="center" wrapText="1"/>
      <protection hidden="1"/>
    </xf>
    <xf numFmtId="0" fontId="20" fillId="12" borderId="63" xfId="0" applyFont="1" applyFill="1" applyBorder="1" applyAlignment="1" applyProtection="1">
      <alignment horizontal="center" vertical="center" wrapText="1"/>
      <protection hidden="1"/>
    </xf>
    <xf numFmtId="170" fontId="20" fillId="12" borderId="11" xfId="0" applyNumberFormat="1" applyFont="1" applyFill="1" applyBorder="1" applyAlignment="1" applyProtection="1">
      <alignment horizontal="center" vertical="center" wrapText="1"/>
      <protection hidden="1"/>
    </xf>
    <xf numFmtId="170" fontId="20" fillId="12" borderId="33" xfId="0" applyNumberFormat="1" applyFont="1" applyFill="1" applyBorder="1" applyAlignment="1" applyProtection="1">
      <alignment horizontal="center" vertical="center" wrapText="1"/>
      <protection hidden="1"/>
    </xf>
    <xf numFmtId="0" fontId="20" fillId="12" borderId="11" xfId="0" applyFont="1" applyFill="1" applyBorder="1" applyAlignment="1" applyProtection="1">
      <alignment horizontal="center" vertical="center" wrapText="1"/>
      <protection hidden="1"/>
    </xf>
    <xf numFmtId="0" fontId="20" fillId="12" borderId="33" xfId="0" applyFont="1" applyFill="1" applyBorder="1" applyAlignment="1" applyProtection="1">
      <alignment horizontal="center" vertical="center" wrapText="1"/>
      <protection hidden="1"/>
    </xf>
    <xf numFmtId="0" fontId="7" fillId="16" borderId="6" xfId="0" applyFont="1" applyFill="1" applyBorder="1" applyAlignment="1" applyProtection="1">
      <alignment horizontal="left" vertical="center" wrapText="1"/>
      <protection hidden="1"/>
    </xf>
    <xf numFmtId="0" fontId="7" fillId="16" borderId="8" xfId="0" applyFont="1" applyFill="1" applyBorder="1"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0" fontId="74" fillId="0" borderId="0" xfId="0" applyFont="1" applyBorder="1" applyAlignment="1" applyProtection="1">
      <alignment horizontal="left" vertical="center" wrapText="1"/>
      <protection hidden="1"/>
    </xf>
    <xf numFmtId="0" fontId="23" fillId="4" borderId="2" xfId="0" applyFont="1" applyFill="1" applyBorder="1" applyAlignment="1" applyProtection="1">
      <alignment horizontal="center" vertical="center" wrapText="1"/>
      <protection hidden="1"/>
    </xf>
    <xf numFmtId="0" fontId="23" fillId="4" borderId="3" xfId="0"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7" fillId="16" borderId="28" xfId="0"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0" fontId="7" fillId="21" borderId="80" xfId="0" applyFont="1" applyFill="1" applyBorder="1" applyAlignment="1" applyProtection="1">
      <alignment horizontal="center" vertical="center" wrapText="1"/>
      <protection hidden="1"/>
    </xf>
    <xf numFmtId="0" fontId="7" fillId="21" borderId="70" xfId="0" applyFont="1" applyFill="1" applyBorder="1" applyAlignment="1" applyProtection="1">
      <alignment horizontal="center" vertical="center" wrapText="1"/>
      <protection hidden="1"/>
    </xf>
    <xf numFmtId="0" fontId="7" fillId="21" borderId="74" xfId="0" applyFont="1" applyFill="1" applyBorder="1" applyAlignment="1" applyProtection="1">
      <alignment horizontal="center" vertical="center" wrapText="1"/>
      <protection hidden="1"/>
    </xf>
    <xf numFmtId="1" fontId="20" fillId="15" borderId="26" xfId="0" applyNumberFormat="1" applyFont="1" applyFill="1" applyBorder="1" applyAlignment="1" applyProtection="1">
      <alignment horizontal="center" vertical="center" wrapText="1"/>
      <protection hidden="1"/>
    </xf>
    <xf numFmtId="1" fontId="20" fillId="15" borderId="17" xfId="0" applyNumberFormat="1" applyFont="1" applyFill="1" applyBorder="1" applyAlignment="1" applyProtection="1">
      <alignment horizontal="center" vertical="center" wrapText="1"/>
      <protection hidden="1"/>
    </xf>
    <xf numFmtId="2" fontId="20" fillId="15" borderId="12" xfId="0" applyNumberFormat="1" applyFont="1" applyFill="1" applyBorder="1" applyAlignment="1" applyProtection="1">
      <alignment horizontal="center" vertical="center" wrapText="1"/>
      <protection hidden="1"/>
    </xf>
    <xf numFmtId="2" fontId="20" fillId="15" borderId="18" xfId="0" applyNumberFormat="1" applyFont="1" applyFill="1" applyBorder="1" applyAlignment="1" applyProtection="1">
      <alignment horizontal="center" vertical="center" wrapText="1"/>
      <protection hidden="1"/>
    </xf>
    <xf numFmtId="170" fontId="20" fillId="15" borderId="25" xfId="0" applyNumberFormat="1" applyFont="1" applyFill="1" applyBorder="1" applyAlignment="1" applyProtection="1">
      <alignment horizontal="center" vertical="center" wrapText="1"/>
      <protection hidden="1"/>
    </xf>
    <xf numFmtId="170" fontId="20" fillId="15" borderId="27" xfId="0" applyNumberFormat="1" applyFont="1" applyFill="1" applyBorder="1" applyAlignment="1" applyProtection="1">
      <alignment horizontal="center" vertical="center" wrapText="1"/>
      <protection hidden="1"/>
    </xf>
    <xf numFmtId="0" fontId="9" fillId="24" borderId="4" xfId="6" applyBorder="1" applyAlignment="1" applyProtection="1">
      <alignment horizontal="center" vertical="center" wrapText="1"/>
      <protection locked="0" hidden="1"/>
    </xf>
    <xf numFmtId="0" fontId="9" fillId="24" borderId="38" xfId="6" applyBorder="1" applyAlignment="1" applyProtection="1">
      <alignment horizontal="center" vertical="center" wrapText="1"/>
      <protection locked="0" hidden="1"/>
    </xf>
    <xf numFmtId="0" fontId="23" fillId="25" borderId="8" xfId="0" applyFont="1" applyFill="1" applyBorder="1" applyAlignment="1" applyProtection="1">
      <alignment horizontal="center" vertical="center" wrapText="1"/>
      <protection hidden="1"/>
    </xf>
    <xf numFmtId="0" fontId="20" fillId="12" borderId="13" xfId="0" applyFont="1" applyFill="1" applyBorder="1" applyAlignment="1" applyProtection="1">
      <alignment horizontal="center" vertical="center" wrapText="1"/>
      <protection hidden="1"/>
    </xf>
    <xf numFmtId="0" fontId="20" fillId="12" borderId="17" xfId="0" applyFont="1" applyFill="1" applyBorder="1" applyAlignment="1" applyProtection="1">
      <alignment horizontal="center" vertical="center" wrapText="1"/>
      <protection hidden="1"/>
    </xf>
    <xf numFmtId="167" fontId="20" fillId="15" borderId="12" xfId="0" applyNumberFormat="1" applyFont="1" applyFill="1" applyBorder="1" applyAlignment="1" applyProtection="1">
      <alignment horizontal="center" vertical="center" wrapText="1"/>
      <protection hidden="1"/>
    </xf>
    <xf numFmtId="167" fontId="20" fillId="15" borderId="18" xfId="0" applyNumberFormat="1" applyFont="1" applyFill="1" applyBorder="1" applyAlignment="1" applyProtection="1">
      <alignment horizontal="center" vertical="center" wrapText="1"/>
      <protection hidden="1"/>
    </xf>
    <xf numFmtId="0" fontId="78" fillId="8" borderId="2" xfId="0" applyFont="1" applyFill="1" applyBorder="1" applyAlignment="1" applyProtection="1">
      <alignment horizontal="center" vertical="center" wrapText="1"/>
      <protection hidden="1"/>
    </xf>
    <xf numFmtId="0" fontId="78" fillId="8" borderId="3" xfId="0" applyFont="1" applyFill="1" applyBorder="1" applyAlignment="1" applyProtection="1">
      <alignment horizontal="center" vertical="center" wrapText="1"/>
      <protection hidden="1"/>
    </xf>
    <xf numFmtId="0" fontId="78" fillId="8" borderId="4" xfId="0" applyFont="1" applyFill="1" applyBorder="1" applyAlignment="1" applyProtection="1">
      <alignment horizontal="center" vertical="center" wrapText="1"/>
      <protection hidden="1"/>
    </xf>
    <xf numFmtId="1" fontId="40" fillId="7" borderId="4" xfId="0" applyNumberFormat="1" applyFont="1" applyFill="1" applyBorder="1" applyAlignment="1" applyProtection="1">
      <alignment horizontal="center" vertical="center" wrapText="1"/>
      <protection hidden="1"/>
    </xf>
    <xf numFmtId="1" fontId="40" fillId="7" borderId="49" xfId="0" applyNumberFormat="1" applyFont="1" applyFill="1" applyBorder="1" applyAlignment="1" applyProtection="1">
      <alignment horizontal="center" vertical="center" wrapText="1"/>
      <protection hidden="1"/>
    </xf>
    <xf numFmtId="1" fontId="40" fillId="7" borderId="38" xfId="0" applyNumberFormat="1" applyFont="1" applyFill="1" applyBorder="1" applyAlignment="1" applyProtection="1">
      <alignment horizontal="center" vertical="center" wrapText="1"/>
      <protection hidden="1"/>
    </xf>
    <xf numFmtId="167" fontId="40" fillId="7" borderId="71" xfId="0" applyNumberFormat="1" applyFont="1" applyFill="1" applyBorder="1" applyAlignment="1" applyProtection="1">
      <alignment horizontal="center" vertical="center" wrapText="1"/>
      <protection hidden="1"/>
    </xf>
    <xf numFmtId="167" fontId="40" fillId="7" borderId="70" xfId="0" applyNumberFormat="1" applyFont="1" applyFill="1" applyBorder="1" applyAlignment="1" applyProtection="1">
      <alignment horizontal="center" vertical="center" wrapText="1"/>
      <protection hidden="1"/>
    </xf>
    <xf numFmtId="167" fontId="40" fillId="7" borderId="50" xfId="0" applyNumberFormat="1" applyFont="1" applyFill="1" applyBorder="1" applyAlignment="1" applyProtection="1">
      <alignment horizontal="center" vertical="center" wrapText="1"/>
      <protection hidden="1"/>
    </xf>
    <xf numFmtId="2" fontId="20" fillId="15" borderId="9" xfId="0" applyNumberFormat="1" applyFont="1" applyFill="1" applyBorder="1" applyAlignment="1" applyProtection="1">
      <alignment horizontal="center" vertical="center" wrapText="1"/>
      <protection hidden="1"/>
    </xf>
    <xf numFmtId="2" fontId="20" fillId="15" borderId="44" xfId="0" applyNumberFormat="1" applyFont="1" applyFill="1" applyBorder="1" applyAlignment="1" applyProtection="1">
      <alignment horizontal="center" vertical="center" wrapText="1"/>
      <protection hidden="1"/>
    </xf>
    <xf numFmtId="0" fontId="7" fillId="5" borderId="72" xfId="0" applyFont="1" applyFill="1" applyBorder="1" applyAlignment="1" applyProtection="1">
      <alignment horizontal="center" vertical="center" wrapText="1"/>
      <protection hidden="1"/>
    </xf>
    <xf numFmtId="0" fontId="7" fillId="5" borderId="51" xfId="0" applyFont="1" applyFill="1" applyBorder="1" applyAlignment="1" applyProtection="1">
      <alignment horizontal="center" vertical="center" wrapText="1"/>
      <protection hidden="1"/>
    </xf>
    <xf numFmtId="0" fontId="53" fillId="25" borderId="2" xfId="0" applyFont="1" applyFill="1" applyBorder="1" applyAlignment="1" applyProtection="1">
      <alignment horizontal="center" vertical="center" wrapText="1"/>
      <protection hidden="1"/>
    </xf>
    <xf numFmtId="0" fontId="53" fillId="25" borderId="3" xfId="0" applyFont="1" applyFill="1" applyBorder="1" applyAlignment="1" applyProtection="1">
      <alignment horizontal="center" vertical="center" wrapText="1"/>
      <protection hidden="1"/>
    </xf>
    <xf numFmtId="0" fontId="53" fillId="25" borderId="4" xfId="0" applyFont="1" applyFill="1" applyBorder="1" applyAlignment="1" applyProtection="1">
      <alignment horizontal="center" vertical="center" wrapText="1"/>
      <protection hidden="1"/>
    </xf>
    <xf numFmtId="0" fontId="7" fillId="5" borderId="58" xfId="1" applyFont="1" applyFill="1" applyBorder="1" applyAlignment="1" applyProtection="1">
      <alignment horizontal="center" vertical="center" wrapText="1"/>
      <protection hidden="1"/>
    </xf>
    <xf numFmtId="0" fontId="7" fillId="5" borderId="48" xfId="1" applyFont="1" applyFill="1" applyBorder="1" applyAlignment="1" applyProtection="1">
      <alignment horizontal="center" vertical="center" wrapText="1"/>
      <protection hidden="1"/>
    </xf>
    <xf numFmtId="0" fontId="7" fillId="5" borderId="31" xfId="1" applyFont="1" applyFill="1" applyBorder="1" applyAlignment="1" applyProtection="1">
      <alignment horizontal="center" vertical="center" wrapText="1"/>
      <protection hidden="1"/>
    </xf>
    <xf numFmtId="0" fontId="7" fillId="5" borderId="54" xfId="1" applyFont="1" applyFill="1" applyBorder="1" applyAlignment="1" applyProtection="1">
      <alignment horizontal="center" vertical="center" wrapText="1"/>
      <protection hidden="1"/>
    </xf>
    <xf numFmtId="0" fontId="53" fillId="4" borderId="6" xfId="0" applyFont="1" applyFill="1" applyBorder="1" applyAlignment="1" applyProtection="1">
      <alignment horizontal="center" vertical="center" wrapText="1"/>
      <protection hidden="1"/>
    </xf>
    <xf numFmtId="0" fontId="53" fillId="4" borderId="7" xfId="0" applyFont="1" applyFill="1" applyBorder="1" applyAlignment="1" applyProtection="1">
      <alignment horizontal="center" vertical="center" wrapText="1"/>
      <protection hidden="1"/>
    </xf>
    <xf numFmtId="0" fontId="53" fillId="4" borderId="8" xfId="0" applyFont="1" applyFill="1" applyBorder="1" applyAlignment="1" applyProtection="1">
      <alignment horizontal="center" vertical="center" wrapText="1"/>
      <protection hidden="1"/>
    </xf>
    <xf numFmtId="1" fontId="20" fillId="15" borderId="32" xfId="0" applyNumberFormat="1" applyFont="1" applyFill="1" applyBorder="1" applyAlignment="1" applyProtection="1">
      <alignment horizontal="center" vertical="center" wrapText="1"/>
      <protection hidden="1"/>
    </xf>
    <xf numFmtId="1" fontId="20" fillId="15" borderId="43" xfId="0" applyNumberFormat="1" applyFont="1" applyFill="1" applyBorder="1" applyAlignment="1" applyProtection="1">
      <alignment horizontal="center" vertical="center" wrapText="1"/>
      <protection hidden="1"/>
    </xf>
    <xf numFmtId="0" fontId="7" fillId="5" borderId="67" xfId="0" applyFont="1" applyFill="1" applyBorder="1" applyAlignment="1" applyProtection="1">
      <alignment horizontal="center" vertical="center" wrapText="1"/>
      <protection hidden="1"/>
    </xf>
    <xf numFmtId="0" fontId="7" fillId="5" borderId="15" xfId="0"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0" fontId="7" fillId="5" borderId="73" xfId="0" applyFont="1" applyFill="1" applyBorder="1" applyAlignment="1" applyProtection="1">
      <alignment horizontal="center" vertical="center" wrapText="1"/>
      <protection hidden="1"/>
    </xf>
    <xf numFmtId="0" fontId="7" fillId="5" borderId="65" xfId="0" applyFont="1" applyFill="1" applyBorder="1" applyAlignment="1" applyProtection="1">
      <alignment horizontal="center" vertical="center" wrapText="1"/>
      <protection hidden="1"/>
    </xf>
    <xf numFmtId="0" fontId="7" fillId="5" borderId="36" xfId="0" applyFont="1" applyFill="1" applyBorder="1" applyAlignment="1" applyProtection="1">
      <alignment horizontal="center" vertical="center" wrapText="1"/>
      <protection hidden="1"/>
    </xf>
    <xf numFmtId="0" fontId="1" fillId="5" borderId="56" xfId="0" applyFont="1" applyFill="1" applyBorder="1" applyAlignment="1" applyProtection="1">
      <alignment horizontal="center" vertical="top" wrapText="1"/>
      <protection hidden="1"/>
    </xf>
    <xf numFmtId="0" fontId="1" fillId="5" borderId="61" xfId="0" applyFont="1" applyFill="1" applyBorder="1" applyAlignment="1" applyProtection="1">
      <alignment horizontal="center" vertical="top" wrapText="1"/>
      <protection hidden="1"/>
    </xf>
    <xf numFmtId="0" fontId="1" fillId="5" borderId="47" xfId="0" applyFont="1" applyFill="1" applyBorder="1" applyAlignment="1" applyProtection="1">
      <alignment horizontal="center" vertical="top" wrapText="1"/>
      <protection hidden="1"/>
    </xf>
    <xf numFmtId="0" fontId="1" fillId="5" borderId="38" xfId="0" applyFont="1" applyFill="1" applyBorder="1" applyAlignment="1" applyProtection="1">
      <alignment horizontal="center" vertical="top" wrapText="1"/>
      <protection hidden="1"/>
    </xf>
    <xf numFmtId="0" fontId="1" fillId="5" borderId="3" xfId="0" applyFont="1" applyFill="1" applyBorder="1" applyAlignment="1" applyProtection="1">
      <alignment horizontal="center" vertical="top" wrapText="1"/>
      <protection hidden="1"/>
    </xf>
    <xf numFmtId="0" fontId="1" fillId="5" borderId="4" xfId="0" applyFont="1" applyFill="1" applyBorder="1" applyAlignment="1" applyProtection="1">
      <alignment horizontal="center" vertical="top" wrapText="1"/>
      <protection hidden="1"/>
    </xf>
    <xf numFmtId="0" fontId="1" fillId="5" borderId="13" xfId="0" applyFont="1" applyFill="1" applyBorder="1" applyAlignment="1" applyProtection="1">
      <alignment horizontal="center" vertical="top" wrapText="1"/>
      <protection hidden="1"/>
    </xf>
    <xf numFmtId="0" fontId="1" fillId="5" borderId="63" xfId="0" applyFont="1" applyFill="1" applyBorder="1" applyAlignment="1" applyProtection="1">
      <alignment horizontal="center" vertical="top" wrapText="1"/>
      <protection hidden="1"/>
    </xf>
    <xf numFmtId="166" fontId="2" fillId="13" borderId="62" xfId="0" applyNumberFormat="1" applyFont="1" applyFill="1" applyBorder="1" applyAlignment="1" applyProtection="1">
      <alignment horizontal="center" vertical="center"/>
      <protection hidden="1"/>
    </xf>
    <xf numFmtId="166" fontId="2" fillId="13" borderId="61" xfId="0" applyNumberFormat="1" applyFont="1" applyFill="1" applyBorder="1" applyAlignment="1" applyProtection="1">
      <alignment horizontal="center" vertical="center"/>
      <protection hidden="1"/>
    </xf>
    <xf numFmtId="0" fontId="53" fillId="8" borderId="6" xfId="0" applyFont="1" applyFill="1" applyBorder="1" applyAlignment="1" applyProtection="1">
      <alignment horizontal="center" vertical="center" wrapText="1"/>
      <protection hidden="1"/>
    </xf>
    <xf numFmtId="0" fontId="53" fillId="8" borderId="7" xfId="0" applyFont="1" applyFill="1" applyBorder="1" applyAlignment="1" applyProtection="1">
      <alignment horizontal="center" vertical="center" wrapText="1"/>
      <protection hidden="1"/>
    </xf>
    <xf numFmtId="0" fontId="53" fillId="8" borderId="8" xfId="0" applyFont="1" applyFill="1" applyBorder="1" applyAlignment="1" applyProtection="1">
      <alignment horizontal="center" vertical="center" wrapText="1"/>
      <protection hidden="1"/>
    </xf>
    <xf numFmtId="0" fontId="1" fillId="5" borderId="58" xfId="0" applyFont="1" applyFill="1" applyBorder="1" applyAlignment="1" applyProtection="1">
      <alignment horizontal="center" vertical="top" wrapText="1"/>
      <protection hidden="1"/>
    </xf>
    <xf numFmtId="0" fontId="1" fillId="5" borderId="54" xfId="0" applyFont="1" applyFill="1" applyBorder="1" applyAlignment="1" applyProtection="1">
      <alignment horizontal="center" vertical="top" wrapText="1"/>
      <protection hidden="1"/>
    </xf>
    <xf numFmtId="0" fontId="2" fillId="2" borderId="0" xfId="0" applyFont="1" applyFill="1" applyBorder="1" applyAlignment="1" applyProtection="1">
      <alignment horizontal="center" vertical="center" wrapText="1"/>
      <protection hidden="1"/>
    </xf>
    <xf numFmtId="0" fontId="1" fillId="5" borderId="35" xfId="0" applyFont="1" applyFill="1" applyBorder="1" applyAlignment="1" applyProtection="1">
      <alignment horizontal="center" vertical="top" wrapText="1"/>
      <protection hidden="1"/>
    </xf>
    <xf numFmtId="0" fontId="1" fillId="5" borderId="33" xfId="0" applyFont="1" applyFill="1" applyBorder="1" applyAlignment="1" applyProtection="1">
      <alignment horizontal="center" vertical="top" wrapText="1"/>
      <protection hidden="1"/>
    </xf>
    <xf numFmtId="0" fontId="1" fillId="5" borderId="35" xfId="0" applyFont="1" applyFill="1" applyBorder="1" applyAlignment="1" applyProtection="1">
      <alignment horizontal="center" vertical="top"/>
      <protection hidden="1"/>
    </xf>
    <xf numFmtId="0" fontId="1" fillId="5" borderId="33" xfId="0" applyFont="1" applyFill="1" applyBorder="1" applyAlignment="1" applyProtection="1">
      <alignment horizontal="center" vertical="top"/>
      <protection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53" fillId="4" borderId="39" xfId="0" applyFont="1" applyFill="1" applyBorder="1" applyAlignment="1" applyProtection="1">
      <alignment horizontal="center" vertical="center" wrapText="1"/>
      <protection hidden="1"/>
    </xf>
    <xf numFmtId="0" fontId="53" fillId="4" borderId="40" xfId="0" applyFont="1" applyFill="1" applyBorder="1" applyAlignment="1" applyProtection="1">
      <alignment horizontal="center" vertical="center" wrapText="1"/>
      <protection hidden="1"/>
    </xf>
    <xf numFmtId="0" fontId="53" fillId="4" borderId="41" xfId="0" applyFont="1" applyFill="1" applyBorder="1" applyAlignment="1" applyProtection="1">
      <alignment horizontal="center" vertical="center" wrapText="1"/>
      <protection hidden="1"/>
    </xf>
    <xf numFmtId="0" fontId="53" fillId="4" borderId="43" xfId="0" applyFont="1" applyFill="1" applyBorder="1" applyAlignment="1" applyProtection="1">
      <alignment horizontal="center" vertical="center" wrapText="1"/>
      <protection hidden="1"/>
    </xf>
    <xf numFmtId="0" fontId="53" fillId="4" borderId="44" xfId="0" applyFont="1" applyFill="1" applyBorder="1" applyAlignment="1" applyProtection="1">
      <alignment horizontal="center" vertical="center" wrapText="1"/>
      <protection hidden="1"/>
    </xf>
    <xf numFmtId="0" fontId="53" fillId="4" borderId="37" xfId="0" applyFont="1" applyFill="1" applyBorder="1" applyAlignment="1" applyProtection="1">
      <alignment horizontal="center" vertical="center" wrapText="1"/>
      <protection hidden="1"/>
    </xf>
    <xf numFmtId="170" fontId="20" fillId="19" borderId="22" xfId="0" applyNumberFormat="1" applyFont="1" applyFill="1" applyBorder="1" applyAlignment="1" applyProtection="1">
      <alignment horizontal="center" vertical="center" wrapText="1"/>
      <protection hidden="1"/>
    </xf>
    <xf numFmtId="0" fontId="53" fillId="4" borderId="2" xfId="0" applyFont="1" applyFill="1" applyBorder="1" applyAlignment="1" applyProtection="1">
      <alignment horizontal="center" vertical="center" wrapText="1"/>
      <protection hidden="1"/>
    </xf>
    <xf numFmtId="0" fontId="53" fillId="4" borderId="3" xfId="0" applyFont="1" applyFill="1" applyBorder="1" applyAlignment="1" applyProtection="1">
      <alignment horizontal="center" vertical="center" wrapText="1"/>
      <protection hidden="1"/>
    </xf>
    <xf numFmtId="0" fontId="53" fillId="4" borderId="4" xfId="0" applyFont="1" applyFill="1" applyBorder="1" applyAlignment="1" applyProtection="1">
      <alignment horizontal="center" vertical="center" wrapText="1"/>
      <protection hidden="1"/>
    </xf>
    <xf numFmtId="0" fontId="53" fillId="4" borderId="47" xfId="0" applyFont="1" applyFill="1" applyBorder="1" applyAlignment="1" applyProtection="1">
      <alignment horizontal="center" vertical="center" wrapText="1"/>
      <protection hidden="1"/>
    </xf>
    <xf numFmtId="0" fontId="53" fillId="4" borderId="5" xfId="0" applyFont="1" applyFill="1" applyBorder="1" applyAlignment="1" applyProtection="1">
      <alignment horizontal="center" vertical="center" wrapText="1"/>
      <protection hidden="1"/>
    </xf>
    <xf numFmtId="0" fontId="53" fillId="4" borderId="38" xfId="0" applyFont="1" applyFill="1" applyBorder="1" applyAlignment="1" applyProtection="1">
      <alignment horizontal="center" vertical="center" wrapText="1"/>
      <protection hidden="1"/>
    </xf>
    <xf numFmtId="0" fontId="49" fillId="0" borderId="6" xfId="0" applyFont="1" applyFill="1" applyBorder="1" applyAlignment="1" applyProtection="1">
      <alignment horizontal="center" vertical="center" wrapText="1"/>
      <protection hidden="1"/>
    </xf>
    <xf numFmtId="0" fontId="49" fillId="0" borderId="7" xfId="0" applyFont="1" applyFill="1" applyBorder="1" applyAlignment="1" applyProtection="1">
      <alignment horizontal="center" vertical="center" wrapText="1"/>
      <protection hidden="1"/>
    </xf>
    <xf numFmtId="0" fontId="49" fillId="0" borderId="8" xfId="0" applyFont="1" applyFill="1" applyBorder="1" applyAlignment="1" applyProtection="1">
      <alignment horizontal="center" vertical="center" wrapText="1"/>
      <protection hidden="1"/>
    </xf>
    <xf numFmtId="1" fontId="1" fillId="0" borderId="0" xfId="0" applyNumberFormat="1" applyFont="1" applyAlignment="1" applyProtection="1">
      <alignment horizontal="left"/>
      <protection hidden="1"/>
    </xf>
    <xf numFmtId="0" fontId="1" fillId="0" borderId="0" xfId="0" applyFont="1" applyFill="1" applyAlignment="1" applyProtection="1">
      <alignment horizontal="left" vertical="center" wrapText="1"/>
      <protection hidden="1"/>
    </xf>
    <xf numFmtId="166" fontId="37" fillId="0" borderId="8" xfId="0" applyNumberFormat="1" applyFont="1" applyFill="1" applyBorder="1" applyAlignment="1" applyProtection="1">
      <alignment horizontal="center" vertical="center" wrapText="1"/>
      <protection hidden="1"/>
    </xf>
    <xf numFmtId="166" fontId="37" fillId="0" borderId="1" xfId="0" applyNumberFormat="1" applyFont="1" applyFill="1" applyBorder="1" applyAlignment="1" applyProtection="1">
      <alignment horizontal="center" vertical="center" wrapText="1"/>
      <protection hidden="1"/>
    </xf>
    <xf numFmtId="0" fontId="40" fillId="14" borderId="6" xfId="0" applyFont="1" applyFill="1" applyBorder="1" applyAlignment="1" applyProtection="1">
      <alignment horizontal="center" wrapText="1"/>
      <protection hidden="1"/>
    </xf>
    <xf numFmtId="0" fontId="40" fillId="14" borderId="8" xfId="0" applyFont="1" applyFill="1" applyBorder="1" applyAlignment="1" applyProtection="1">
      <alignment horizontal="center" wrapText="1"/>
      <protection hidden="1"/>
    </xf>
    <xf numFmtId="0" fontId="65" fillId="2" borderId="0" xfId="0" applyFont="1" applyFill="1" applyAlignment="1" applyProtection="1">
      <alignment horizontal="justify" vertical="center" wrapText="1"/>
      <protection locked="0" hidden="1"/>
    </xf>
    <xf numFmtId="0" fontId="9" fillId="0" borderId="0" xfId="0" applyFont="1" applyAlignment="1" applyProtection="1">
      <alignment horizontal="left" vertical="center" wrapText="1"/>
      <protection hidden="1"/>
    </xf>
    <xf numFmtId="14" fontId="37" fillId="0" borderId="40" xfId="0" applyNumberFormat="1" applyFont="1" applyBorder="1" applyAlignment="1" applyProtection="1">
      <alignment horizontal="center" vertical="center" wrapText="1"/>
      <protection hidden="1"/>
    </xf>
    <xf numFmtId="0" fontId="37" fillId="0" borderId="40" xfId="0" applyFont="1" applyBorder="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0" fontId="7" fillId="0" borderId="6" xfId="0" applyFont="1" applyFill="1" applyBorder="1" applyAlignment="1" applyProtection="1">
      <alignment horizontal="center" vertical="center" wrapText="1"/>
      <protection hidden="1"/>
    </xf>
    <xf numFmtId="0" fontId="7" fillId="0" borderId="8" xfId="0" applyFont="1" applyFill="1" applyBorder="1" applyAlignment="1" applyProtection="1">
      <alignment horizontal="center" vertical="center" wrapText="1"/>
      <protection hidden="1"/>
    </xf>
    <xf numFmtId="0" fontId="7" fillId="0" borderId="7" xfId="0" applyFont="1" applyFill="1" applyBorder="1" applyAlignment="1" applyProtection="1">
      <alignment horizontal="center" vertical="center" wrapText="1"/>
      <protection hidden="1"/>
    </xf>
    <xf numFmtId="0" fontId="37" fillId="0" borderId="11" xfId="0" applyFont="1" applyFill="1" applyBorder="1" applyAlignment="1" applyProtection="1">
      <alignment horizontal="center" vertical="center" wrapText="1"/>
      <protection hidden="1"/>
    </xf>
    <xf numFmtId="0" fontId="37" fillId="0" borderId="14" xfId="0" applyFont="1" applyFill="1" applyBorder="1" applyAlignment="1" applyProtection="1">
      <alignment horizontal="center" vertical="center" wrapText="1"/>
      <protection hidden="1"/>
    </xf>
    <xf numFmtId="0" fontId="20" fillId="14" borderId="55" xfId="0" applyFont="1" applyFill="1" applyBorder="1" applyAlignment="1" applyProtection="1">
      <alignment horizontal="center" vertical="center" wrapText="1"/>
      <protection hidden="1"/>
    </xf>
    <xf numFmtId="0" fontId="20" fillId="14" borderId="57" xfId="0" applyFont="1" applyFill="1" applyBorder="1" applyAlignment="1" applyProtection="1">
      <alignment horizontal="center" vertical="center" wrapText="1"/>
      <protection hidden="1"/>
    </xf>
    <xf numFmtId="182" fontId="37" fillId="0" borderId="3" xfId="0" applyNumberFormat="1" applyFont="1" applyFill="1" applyBorder="1" applyAlignment="1" applyProtection="1">
      <alignment horizontal="center" vertical="center" wrapText="1"/>
      <protection hidden="1"/>
    </xf>
    <xf numFmtId="0" fontId="65" fillId="0" borderId="0" xfId="0" applyFont="1" applyAlignment="1" applyProtection="1">
      <alignment horizontal="left" vertical="center" wrapText="1"/>
      <protection locked="0" hidden="1"/>
    </xf>
    <xf numFmtId="0" fontId="2" fillId="0" borderId="0" xfId="0" applyFont="1" applyFill="1" applyBorder="1" applyAlignment="1" applyProtection="1">
      <alignment horizontal="left" vertical="center" wrapText="1"/>
      <protection hidden="1"/>
    </xf>
    <xf numFmtId="0" fontId="15" fillId="2" borderId="0" xfId="0" applyFont="1" applyFill="1" applyAlignment="1" applyProtection="1">
      <alignment horizontal="justify" vertical="center" wrapText="1"/>
      <protection locked="0" hidden="1"/>
    </xf>
    <xf numFmtId="0" fontId="65" fillId="2" borderId="0" xfId="0" applyFont="1" applyFill="1" applyBorder="1" applyAlignment="1" applyProtection="1">
      <alignment horizontal="justify" vertical="center" wrapText="1"/>
      <protection hidden="1"/>
    </xf>
    <xf numFmtId="0" fontId="65" fillId="2" borderId="0" xfId="0" applyFont="1" applyFill="1" applyAlignment="1" applyProtection="1">
      <alignment horizontal="justify" vertical="center" wrapText="1"/>
      <protection hidden="1"/>
    </xf>
    <xf numFmtId="49" fontId="15" fillId="2" borderId="0" xfId="0" applyNumberFormat="1" applyFont="1" applyFill="1" applyAlignment="1" applyProtection="1">
      <alignment horizontal="justify" vertical="center" wrapText="1"/>
      <protection hidden="1"/>
    </xf>
    <xf numFmtId="0" fontId="15" fillId="2" borderId="0" xfId="0" applyFont="1" applyFill="1" applyAlignment="1" applyProtection="1">
      <alignment horizontal="justify" vertical="center" wrapText="1"/>
      <protection hidden="1"/>
    </xf>
    <xf numFmtId="0" fontId="2" fillId="0" borderId="0" xfId="0" applyFont="1" applyBorder="1" applyAlignment="1" applyProtection="1">
      <alignment horizontal="left" vertical="center" wrapText="1"/>
      <protection hidden="1"/>
    </xf>
    <xf numFmtId="0" fontId="1" fillId="0" borderId="71" xfId="0" applyFont="1" applyBorder="1" applyAlignment="1" applyProtection="1">
      <alignment horizontal="center" vertical="center" wrapText="1"/>
      <protection hidden="1"/>
    </xf>
    <xf numFmtId="0" fontId="1" fillId="0" borderId="70" xfId="0" applyFont="1" applyBorder="1" applyAlignment="1" applyProtection="1">
      <alignment horizontal="center" vertical="center" wrapText="1"/>
      <protection hidden="1"/>
    </xf>
    <xf numFmtId="0" fontId="1" fillId="0" borderId="50" xfId="0" applyFont="1" applyBorder="1" applyAlignment="1" applyProtection="1">
      <alignment horizontal="center" vertical="center" wrapText="1"/>
      <protection hidden="1"/>
    </xf>
    <xf numFmtId="0" fontId="65" fillId="0" borderId="0" xfId="0" applyFont="1" applyAlignment="1" applyProtection="1">
      <alignment horizontal="justify" vertical="justify" wrapText="1"/>
      <protection locked="0" hidden="1"/>
    </xf>
    <xf numFmtId="0" fontId="2" fillId="0" borderId="0" xfId="0" applyFont="1" applyFill="1" applyAlignment="1" applyProtection="1">
      <alignment horizontal="justify" vertical="center" wrapText="1"/>
      <protection hidden="1"/>
    </xf>
    <xf numFmtId="0" fontId="1" fillId="0" borderId="0" xfId="0" applyFont="1" applyFill="1" applyAlignment="1" applyProtection="1">
      <alignment horizontal="left" vertical="center"/>
      <protection hidden="1"/>
    </xf>
    <xf numFmtId="0" fontId="7" fillId="0" borderId="6"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7" fillId="0" borderId="8" xfId="0" applyFont="1" applyBorder="1" applyAlignment="1" applyProtection="1">
      <alignment horizontal="center" vertical="center" wrapText="1"/>
      <protection hidden="1"/>
    </xf>
    <xf numFmtId="0" fontId="1" fillId="0" borderId="19" xfId="0" applyFont="1" applyBorder="1" applyAlignment="1" applyProtection="1">
      <alignment horizontal="center" vertical="center" wrapText="1"/>
      <protection hidden="1"/>
    </xf>
    <xf numFmtId="0" fontId="1" fillId="0" borderId="28" xfId="0" applyFont="1" applyBorder="1" applyAlignment="1" applyProtection="1">
      <alignment horizontal="center" vertical="center" wrapText="1"/>
      <protection hidden="1"/>
    </xf>
    <xf numFmtId="0" fontId="1" fillId="0" borderId="6" xfId="0" applyFont="1" applyBorder="1" applyAlignment="1" applyProtection="1">
      <alignment horizontal="center" vertical="center" wrapText="1"/>
      <protection hidden="1"/>
    </xf>
    <xf numFmtId="0" fontId="1" fillId="0" borderId="7" xfId="0" applyFont="1"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hidden="1"/>
    </xf>
    <xf numFmtId="0" fontId="2" fillId="0" borderId="0" xfId="0" applyFont="1" applyAlignment="1" applyProtection="1">
      <alignment horizontal="left" vertical="justify" wrapText="1"/>
      <protection hidden="1"/>
    </xf>
    <xf numFmtId="174" fontId="2" fillId="0" borderId="6" xfId="0" applyNumberFormat="1" applyFont="1" applyBorder="1" applyAlignment="1" applyProtection="1">
      <alignment horizontal="center" vertical="center" wrapText="1"/>
      <protection hidden="1"/>
    </xf>
    <xf numFmtId="174" fontId="2" fillId="0" borderId="7" xfId="0" applyNumberFormat="1" applyFont="1" applyBorder="1" applyAlignment="1" applyProtection="1">
      <alignment horizontal="center" vertical="center" wrapText="1"/>
      <protection hidden="1"/>
    </xf>
    <xf numFmtId="174" fontId="2" fillId="0" borderId="8" xfId="0" applyNumberFormat="1" applyFont="1" applyBorder="1" applyAlignment="1" applyProtection="1">
      <alignment horizontal="center" vertical="center" wrapText="1"/>
      <protection hidden="1"/>
    </xf>
    <xf numFmtId="0" fontId="65" fillId="0" borderId="0" xfId="0" applyFont="1" applyAlignment="1" applyProtection="1">
      <alignment horizontal="justify" vertical="center" wrapText="1"/>
      <protection locked="0" hidden="1"/>
    </xf>
    <xf numFmtId="0" fontId="37" fillId="0" borderId="41" xfId="0" applyFont="1" applyBorder="1" applyAlignment="1" applyProtection="1">
      <alignment horizontal="center" vertical="center" wrapText="1"/>
      <protection hidden="1"/>
    </xf>
    <xf numFmtId="0" fontId="20" fillId="0" borderId="32" xfId="0" applyFont="1" applyBorder="1" applyAlignment="1" applyProtection="1">
      <alignment horizontal="left" vertical="center" wrapText="1"/>
      <protection hidden="1"/>
    </xf>
    <xf numFmtId="0" fontId="20" fillId="0" borderId="9" xfId="0" applyFont="1" applyBorder="1" applyAlignment="1" applyProtection="1">
      <alignment horizontal="left" vertical="center" wrapText="1"/>
      <protection hidden="1"/>
    </xf>
    <xf numFmtId="1" fontId="37" fillId="0" borderId="9" xfId="0" applyNumberFormat="1" applyFont="1" applyBorder="1" applyAlignment="1" applyProtection="1">
      <alignment horizontal="center" vertical="center" wrapText="1"/>
      <protection hidden="1"/>
    </xf>
    <xf numFmtId="0" fontId="37" fillId="0" borderId="9" xfId="0" applyFont="1" applyBorder="1" applyAlignment="1" applyProtection="1">
      <alignment horizontal="center" vertical="center" wrapText="1"/>
      <protection hidden="1"/>
    </xf>
    <xf numFmtId="0" fontId="20" fillId="0" borderId="5" xfId="0" applyFont="1" applyBorder="1" applyAlignment="1" applyProtection="1">
      <alignment horizontal="left" vertical="center" wrapText="1"/>
      <protection hidden="1"/>
    </xf>
    <xf numFmtId="0" fontId="37" fillId="0" borderId="34" xfId="0" applyFont="1" applyBorder="1" applyAlignment="1" applyProtection="1">
      <alignment horizontal="center" vertical="center" wrapText="1"/>
      <protection hidden="1"/>
    </xf>
    <xf numFmtId="0" fontId="2" fillId="0" borderId="0" xfId="0" applyFont="1" applyFill="1" applyAlignment="1" applyProtection="1">
      <alignment horizontal="left" vertical="justify" wrapText="1"/>
      <protection hidden="1"/>
    </xf>
    <xf numFmtId="0" fontId="2" fillId="0" borderId="0" xfId="0" applyFont="1" applyAlignment="1" applyProtection="1">
      <alignment horizontal="left"/>
      <protection hidden="1"/>
    </xf>
    <xf numFmtId="14" fontId="2" fillId="0" borderId="0" xfId="0" applyNumberFormat="1" applyFont="1" applyAlignment="1" applyProtection="1">
      <alignment horizontal="left"/>
      <protection hidden="1"/>
    </xf>
    <xf numFmtId="0" fontId="3" fillId="0" borderId="0" xfId="0" applyFont="1" applyAlignment="1" applyProtection="1">
      <alignment horizontal="center" vertical="center"/>
      <protection hidden="1"/>
    </xf>
    <xf numFmtId="0" fontId="2" fillId="0" borderId="0" xfId="0" applyFont="1" applyFill="1" applyAlignment="1" applyProtection="1">
      <alignment horizontal="center"/>
      <protection hidden="1"/>
    </xf>
    <xf numFmtId="0" fontId="1" fillId="0" borderId="0" xfId="0" applyFont="1" applyAlignment="1" applyProtection="1">
      <alignment horizontal="center"/>
      <protection hidden="1"/>
    </xf>
    <xf numFmtId="1" fontId="20" fillId="14" borderId="55" xfId="0" applyNumberFormat="1" applyFont="1" applyFill="1" applyBorder="1" applyAlignment="1" applyProtection="1">
      <alignment horizontal="center" vertical="center" wrapText="1"/>
      <protection hidden="1"/>
    </xf>
    <xf numFmtId="1" fontId="20" fillId="14" borderId="57" xfId="0" applyNumberFormat="1" applyFont="1" applyFill="1" applyBorder="1" applyAlignment="1" applyProtection="1">
      <alignment horizontal="center" vertical="center" wrapText="1"/>
      <protection hidden="1"/>
    </xf>
    <xf numFmtId="0" fontId="20" fillId="14" borderId="44" xfId="0" applyFont="1" applyFill="1" applyBorder="1" applyAlignment="1" applyProtection="1">
      <alignment horizontal="center" vertical="center" wrapText="1"/>
      <protection hidden="1"/>
    </xf>
    <xf numFmtId="0" fontId="20" fillId="14" borderId="37" xfId="0" applyFont="1" applyFill="1" applyBorder="1" applyAlignment="1" applyProtection="1">
      <alignment horizontal="center" vertical="center" wrapText="1"/>
      <protection hidden="1"/>
    </xf>
    <xf numFmtId="165" fontId="37" fillId="0" borderId="8" xfId="0" applyNumberFormat="1" applyFont="1" applyFill="1" applyBorder="1" applyAlignment="1" applyProtection="1">
      <alignment horizontal="center" vertical="center" wrapText="1"/>
      <protection hidden="1"/>
    </xf>
    <xf numFmtId="165" fontId="37" fillId="0" borderId="1" xfId="0" applyNumberFormat="1" applyFont="1" applyFill="1" applyBorder="1" applyAlignment="1" applyProtection="1">
      <alignment horizontal="center" vertical="center" wrapText="1"/>
      <protection hidden="1"/>
    </xf>
    <xf numFmtId="0" fontId="1" fillId="0" borderId="0" xfId="0" applyFont="1" applyAlignment="1" applyProtection="1">
      <alignment horizontal="left" vertical="center" wrapText="1"/>
      <protection hidden="1"/>
    </xf>
    <xf numFmtId="0" fontId="1" fillId="0" borderId="0" xfId="0" applyFont="1" applyFill="1" applyBorder="1" applyAlignment="1" applyProtection="1">
      <alignment horizontal="left" vertical="center" wrapText="1"/>
      <protection hidden="1"/>
    </xf>
    <xf numFmtId="0" fontId="20" fillId="0" borderId="39" xfId="0" applyFont="1" applyBorder="1" applyAlignment="1" applyProtection="1">
      <alignment horizontal="left" vertical="center" wrapText="1"/>
      <protection hidden="1"/>
    </xf>
    <xf numFmtId="0" fontId="20" fillId="0" borderId="40" xfId="0" applyFont="1" applyBorder="1" applyAlignment="1" applyProtection="1">
      <alignment horizontal="left" vertical="center" wrapText="1"/>
      <protection hidden="1"/>
    </xf>
    <xf numFmtId="177" fontId="66" fillId="14" borderId="2" xfId="0" applyNumberFormat="1" applyFont="1" applyFill="1" applyBorder="1" applyAlignment="1" applyProtection="1">
      <alignment horizontal="center" vertical="center" wrapText="1"/>
      <protection hidden="1"/>
    </xf>
    <xf numFmtId="177" fontId="66" fillId="14" borderId="4" xfId="0" applyNumberFormat="1" applyFont="1" applyFill="1" applyBorder="1" applyAlignment="1" applyProtection="1">
      <alignment horizontal="center" vertical="center" wrapText="1"/>
      <protection hidden="1"/>
    </xf>
    <xf numFmtId="177" fontId="66" fillId="14" borderId="10" xfId="0" applyNumberFormat="1" applyFont="1" applyFill="1" applyBorder="1" applyAlignment="1" applyProtection="1">
      <alignment horizontal="center" vertical="center" wrapText="1"/>
      <protection hidden="1"/>
    </xf>
    <xf numFmtId="177" fontId="66" fillId="14" borderId="49" xfId="0" applyNumberFormat="1" applyFont="1" applyFill="1" applyBorder="1" applyAlignment="1" applyProtection="1">
      <alignment horizontal="center" vertical="center" wrapText="1"/>
      <protection hidden="1"/>
    </xf>
    <xf numFmtId="177" fontId="66" fillId="14" borderId="47" xfId="0" applyNumberFormat="1" applyFont="1" applyFill="1" applyBorder="1" applyAlignment="1" applyProtection="1">
      <alignment horizontal="center" vertical="center" wrapText="1"/>
      <protection hidden="1"/>
    </xf>
    <xf numFmtId="177" fontId="66" fillId="14" borderId="38" xfId="0" applyNumberFormat="1" applyFont="1" applyFill="1" applyBorder="1" applyAlignment="1" applyProtection="1">
      <alignment horizontal="center" vertical="center" wrapText="1"/>
      <protection hidden="1"/>
    </xf>
    <xf numFmtId="0" fontId="2" fillId="0" borderId="0" xfId="0" applyFont="1" applyAlignment="1" applyProtection="1">
      <alignment horizontal="justify" vertical="justify" wrapText="1"/>
      <protection hidden="1"/>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1" fillId="0" borderId="0" xfId="0" applyFont="1" applyBorder="1" applyAlignment="1" applyProtection="1">
      <alignment horizontal="left" vertical="center" wrapText="1"/>
      <protection hidden="1"/>
    </xf>
    <xf numFmtId="14" fontId="2" fillId="0" borderId="0" xfId="0" applyNumberFormat="1"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175" fontId="2" fillId="0" borderId="6" xfId="0" applyNumberFormat="1" applyFont="1" applyBorder="1" applyAlignment="1" applyProtection="1">
      <alignment horizontal="center" vertical="center" wrapText="1"/>
      <protection hidden="1"/>
    </xf>
    <xf numFmtId="175" fontId="2" fillId="0" borderId="7" xfId="0" applyNumberFormat="1" applyFont="1" applyBorder="1" applyAlignment="1" applyProtection="1">
      <alignment horizontal="center" vertical="center" wrapText="1"/>
      <protection hidden="1"/>
    </xf>
    <xf numFmtId="175" fontId="2" fillId="0" borderId="8" xfId="0" applyNumberFormat="1" applyFont="1" applyBorder="1" applyAlignment="1" applyProtection="1">
      <alignment horizontal="center" vertical="center" wrapText="1"/>
      <protection hidden="1"/>
    </xf>
    <xf numFmtId="176" fontId="2" fillId="0" borderId="6" xfId="0" applyNumberFormat="1" applyFont="1" applyBorder="1" applyAlignment="1" applyProtection="1">
      <alignment horizontal="center" vertical="center" wrapText="1"/>
      <protection hidden="1"/>
    </xf>
    <xf numFmtId="176" fontId="2" fillId="0" borderId="8" xfId="0" applyNumberFormat="1" applyFont="1" applyBorder="1" applyAlignment="1" applyProtection="1">
      <alignment horizontal="center" vertical="center" wrapText="1"/>
      <protection hidden="1"/>
    </xf>
    <xf numFmtId="14" fontId="82" fillId="0" borderId="0" xfId="0" applyNumberFormat="1" applyFont="1" applyBorder="1" applyAlignment="1" applyProtection="1">
      <alignment horizontal="left" vertical="center" wrapText="1"/>
      <protection hidden="1"/>
    </xf>
    <xf numFmtId="0" fontId="82" fillId="0" borderId="0" xfId="0" applyFont="1" applyBorder="1" applyAlignment="1" applyProtection="1">
      <alignment horizontal="left" vertical="center" wrapText="1"/>
      <protection hidden="1"/>
    </xf>
    <xf numFmtId="170" fontId="2" fillId="0" borderId="0" xfId="0" applyNumberFormat="1" applyFont="1" applyAlignment="1" applyProtection="1">
      <alignment horizontal="left" vertical="center" wrapText="1"/>
      <protection hidden="1"/>
    </xf>
    <xf numFmtId="170" fontId="2" fillId="0" borderId="0" xfId="0" applyNumberFormat="1" applyFont="1" applyBorder="1" applyAlignment="1" applyProtection="1">
      <alignment horizontal="left" vertical="center" wrapText="1"/>
      <protection hidden="1"/>
    </xf>
    <xf numFmtId="0" fontId="2" fillId="0" borderId="0" xfId="0" applyFont="1" applyBorder="1" applyAlignment="1" applyProtection="1">
      <alignment horizontal="center" vertical="center" wrapText="1"/>
      <protection hidden="1"/>
    </xf>
    <xf numFmtId="0" fontId="65" fillId="2" borderId="0" xfId="0" applyFont="1" applyFill="1" applyAlignment="1" applyProtection="1">
      <alignment horizontal="justify" vertical="justify" wrapText="1"/>
      <protection hidden="1"/>
    </xf>
    <xf numFmtId="0" fontId="88" fillId="14" borderId="71" xfId="0" applyFont="1" applyFill="1" applyBorder="1" applyAlignment="1" applyProtection="1">
      <alignment horizontal="center" vertical="center"/>
      <protection hidden="1"/>
    </xf>
    <xf numFmtId="0" fontId="88" fillId="14" borderId="70" xfId="0" applyFont="1" applyFill="1" applyBorder="1" applyAlignment="1" applyProtection="1">
      <alignment horizontal="center" vertical="center"/>
      <protection hidden="1"/>
    </xf>
    <xf numFmtId="0" fontId="88" fillId="14" borderId="50" xfId="0" applyFont="1" applyFill="1" applyBorder="1" applyAlignment="1" applyProtection="1">
      <alignment horizontal="center" vertical="center"/>
      <protection hidden="1"/>
    </xf>
    <xf numFmtId="0" fontId="88" fillId="14" borderId="71" xfId="0" applyFont="1" applyFill="1" applyBorder="1" applyAlignment="1" applyProtection="1">
      <alignment horizontal="center" vertical="center" wrapText="1"/>
      <protection hidden="1"/>
    </xf>
    <xf numFmtId="0" fontId="88" fillId="14" borderId="70" xfId="0" applyFont="1" applyFill="1" applyBorder="1" applyAlignment="1" applyProtection="1">
      <alignment horizontal="center" vertical="center" wrapText="1"/>
      <protection hidden="1"/>
    </xf>
    <xf numFmtId="0" fontId="88" fillId="14" borderId="50" xfId="0" applyFont="1" applyFill="1" applyBorder="1" applyAlignment="1" applyProtection="1">
      <alignment horizontal="center" vertical="center" wrapText="1"/>
      <protection hidden="1"/>
    </xf>
    <xf numFmtId="14" fontId="65" fillId="0" borderId="0" xfId="0" applyNumberFormat="1" applyFont="1" applyBorder="1" applyAlignment="1" applyProtection="1">
      <alignment horizontal="left" vertical="center" wrapText="1"/>
      <protection hidden="1"/>
    </xf>
    <xf numFmtId="0" fontId="20" fillId="0" borderId="43" xfId="0" applyFont="1" applyBorder="1" applyAlignment="1" applyProtection="1">
      <alignment horizontal="left" vertical="center" wrapText="1"/>
      <protection hidden="1"/>
    </xf>
    <xf numFmtId="0" fontId="20" fillId="0" borderId="44" xfId="0" applyFont="1" applyBorder="1" applyAlignment="1" applyProtection="1">
      <alignment horizontal="left" vertical="center" wrapText="1"/>
      <protection hidden="1"/>
    </xf>
    <xf numFmtId="0" fontId="37" fillId="0" borderId="31" xfId="0" applyFont="1" applyFill="1" applyBorder="1" applyAlignment="1" applyProtection="1">
      <alignment horizontal="center" vertical="center" wrapText="1"/>
      <protection hidden="1"/>
    </xf>
    <xf numFmtId="0" fontId="37" fillId="0" borderId="48" xfId="0" applyFont="1" applyFill="1" applyBorder="1" applyAlignment="1" applyProtection="1">
      <alignment horizontal="center" vertical="center" wrapText="1"/>
      <protection hidden="1"/>
    </xf>
    <xf numFmtId="170" fontId="2" fillId="0" borderId="0" xfId="0" applyNumberFormat="1" applyFont="1" applyAlignment="1" applyProtection="1">
      <alignment horizontal="left"/>
      <protection hidden="1"/>
    </xf>
    <xf numFmtId="0" fontId="61" fillId="2" borderId="0" xfId="0" applyFont="1" applyFill="1" applyAlignment="1" applyProtection="1">
      <alignment horizontal="justify" vertical="center" wrapText="1"/>
      <protection locked="0" hidden="1"/>
    </xf>
    <xf numFmtId="0" fontId="16" fillId="2" borderId="0" xfId="0" applyFont="1" applyFill="1" applyAlignment="1" applyProtection="1">
      <alignment horizontal="justify" vertical="center" wrapText="1"/>
      <protection locked="0" hidden="1"/>
    </xf>
    <xf numFmtId="0" fontId="61" fillId="2" borderId="0" xfId="0" applyFont="1" applyFill="1" applyBorder="1" applyAlignment="1" applyProtection="1">
      <alignment horizontal="justify" vertical="center" wrapText="1"/>
      <protection hidden="1"/>
    </xf>
    <xf numFmtId="0" fontId="61" fillId="2" borderId="0" xfId="0" applyFont="1" applyFill="1" applyAlignment="1" applyProtection="1">
      <alignment horizontal="justify" wrapText="1"/>
      <protection hidden="1"/>
    </xf>
    <xf numFmtId="49" fontId="16" fillId="2" borderId="0" xfId="0" applyNumberFormat="1" applyFont="1" applyFill="1" applyAlignment="1" applyProtection="1">
      <alignment horizontal="justify" vertical="center" wrapText="1"/>
      <protection hidden="1"/>
    </xf>
    <xf numFmtId="0" fontId="16" fillId="2" borderId="0" xfId="0" applyFont="1" applyFill="1" applyAlignment="1" applyProtection="1">
      <alignment horizontal="justify" vertical="center" wrapText="1"/>
      <protection hidden="1"/>
    </xf>
    <xf numFmtId="1" fontId="1" fillId="0" borderId="0" xfId="0" applyNumberFormat="1" applyFont="1" applyAlignment="1" applyProtection="1">
      <alignment horizontal="center"/>
      <protection hidden="1"/>
    </xf>
    <xf numFmtId="2" fontId="20" fillId="0" borderId="8" xfId="0" applyNumberFormat="1" applyFont="1" applyFill="1" applyBorder="1" applyAlignment="1" applyProtection="1">
      <alignment horizontal="center" vertical="center" wrapText="1"/>
      <protection hidden="1"/>
    </xf>
    <xf numFmtId="2" fontId="20" fillId="0" borderId="1" xfId="0" applyNumberFormat="1" applyFont="1" applyFill="1" applyBorder="1" applyAlignment="1" applyProtection="1">
      <alignment horizontal="center" vertical="center" wrapText="1"/>
      <protection hidden="1"/>
    </xf>
    <xf numFmtId="165" fontId="20" fillId="0" borderId="8" xfId="0" applyNumberFormat="1" applyFont="1" applyFill="1" applyBorder="1" applyAlignment="1" applyProtection="1">
      <alignment horizontal="center" vertical="center" wrapText="1"/>
      <protection hidden="1"/>
    </xf>
    <xf numFmtId="165" fontId="20" fillId="0" borderId="1" xfId="0" applyNumberFormat="1" applyFont="1" applyFill="1" applyBorder="1" applyAlignment="1" applyProtection="1">
      <alignment horizontal="center" vertical="center" wrapText="1"/>
      <protection hidden="1"/>
    </xf>
    <xf numFmtId="1" fontId="20" fillId="0" borderId="8" xfId="0" applyNumberFormat="1" applyFont="1" applyFill="1" applyBorder="1" applyAlignment="1" applyProtection="1">
      <alignment horizontal="center" vertical="center" wrapText="1"/>
      <protection hidden="1"/>
    </xf>
    <xf numFmtId="1" fontId="20" fillId="0" borderId="1" xfId="0" applyNumberFormat="1" applyFont="1" applyFill="1" applyBorder="1" applyAlignment="1" applyProtection="1">
      <alignment horizontal="center" vertical="center" wrapText="1"/>
      <protection hidden="1"/>
    </xf>
    <xf numFmtId="167" fontId="20" fillId="0" borderId="3" xfId="0" applyNumberFormat="1" applyFont="1" applyFill="1" applyBorder="1" applyAlignment="1" applyProtection="1">
      <alignment horizontal="center" vertical="center" wrapText="1"/>
      <protection hidden="1"/>
    </xf>
    <xf numFmtId="0" fontId="20" fillId="0" borderId="11" xfId="0" applyFont="1" applyFill="1" applyBorder="1" applyAlignment="1" applyProtection="1">
      <alignment horizontal="center" vertical="center" wrapText="1"/>
      <protection hidden="1"/>
    </xf>
    <xf numFmtId="0" fontId="20" fillId="0" borderId="14" xfId="0" applyFont="1" applyFill="1" applyBorder="1" applyAlignment="1" applyProtection="1">
      <alignment horizontal="center" vertical="center" wrapText="1"/>
      <protection hidden="1"/>
    </xf>
    <xf numFmtId="1" fontId="20" fillId="0" borderId="9" xfId="0" applyNumberFormat="1"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0" fillId="0" borderId="34" xfId="0" applyFont="1" applyBorder="1" applyAlignment="1" applyProtection="1">
      <alignment horizontal="center" vertical="center" wrapText="1"/>
      <protection hidden="1"/>
    </xf>
    <xf numFmtId="0" fontId="20" fillId="0" borderId="31" xfId="0" applyFont="1" applyFill="1" applyBorder="1" applyAlignment="1" applyProtection="1">
      <alignment horizontal="center" vertical="center" wrapText="1"/>
      <protection hidden="1"/>
    </xf>
    <xf numFmtId="0" fontId="20" fillId="0" borderId="48" xfId="0" applyFont="1" applyFill="1" applyBorder="1" applyAlignment="1" applyProtection="1">
      <alignment horizontal="center" vertical="center" wrapText="1"/>
      <protection hidden="1"/>
    </xf>
    <xf numFmtId="14" fontId="20" fillId="0" borderId="40" xfId="0" applyNumberFormat="1" applyFont="1" applyBorder="1" applyAlignment="1" applyProtection="1">
      <alignment horizontal="center" vertical="center" wrapText="1"/>
      <protection hidden="1"/>
    </xf>
    <xf numFmtId="0" fontId="20" fillId="0" borderId="40" xfId="0" applyFont="1" applyBorder="1" applyAlignment="1" applyProtection="1">
      <alignment horizontal="center" vertical="center" wrapText="1"/>
      <protection hidden="1"/>
    </xf>
    <xf numFmtId="0" fontId="20" fillId="0" borderId="41" xfId="0" applyFont="1" applyBorder="1" applyAlignment="1" applyProtection="1">
      <alignment horizontal="center" vertical="center" wrapText="1"/>
      <protection hidden="1"/>
    </xf>
    <xf numFmtId="0" fontId="2" fillId="0" borderId="0" xfId="0" applyFont="1" applyAlignment="1" applyProtection="1">
      <alignment horizontal="justify" vertical="center" wrapText="1"/>
      <protection locked="0" hidden="1"/>
    </xf>
    <xf numFmtId="0" fontId="2" fillId="0" borderId="0" xfId="0" applyFont="1" applyAlignment="1" applyProtection="1">
      <alignment horizontal="justify" vertical="justify" wrapText="1"/>
      <protection locked="0" hidden="1"/>
    </xf>
    <xf numFmtId="0" fontId="2" fillId="0" borderId="0" xfId="0" applyFont="1" applyAlignment="1" applyProtection="1">
      <alignment horizontal="left" vertical="center" wrapText="1"/>
      <protection locked="0" hidden="1"/>
    </xf>
  </cellXfs>
  <cellStyles count="11">
    <cellStyle name="Buena" xfId="1" builtinId="26"/>
    <cellStyle name="Buena 2" xfId="8"/>
    <cellStyle name="Estilo 1" xfId="2"/>
    <cellStyle name="Estilo 1 2" xfId="9"/>
    <cellStyle name="Estilo 2" xfId="3"/>
    <cellStyle name="Estilo 2 2" xfId="10"/>
    <cellStyle name="Estilo 3" xfId="4"/>
    <cellStyle name="Estilo 4" xfId="5"/>
    <cellStyle name="Estilo 5" xfId="6"/>
    <cellStyle name="Estilo 6" xfId="7"/>
    <cellStyle name="Normal" xfId="0" builtinId="0"/>
  </cellStyles>
  <dxfs count="4">
    <dxf>
      <font>
        <b/>
        <i val="0"/>
        <color auto="1"/>
      </font>
      <fill>
        <patternFill>
          <bgColor rgb="FFFFC7CE"/>
        </patternFill>
      </fill>
    </dxf>
    <dxf>
      <font>
        <b/>
        <i val="0"/>
      </font>
    </dxf>
    <dxf>
      <font>
        <b/>
        <i val="0"/>
        <color auto="1"/>
      </font>
      <fill>
        <patternFill>
          <bgColor rgb="FFFFC7CE"/>
        </patternFill>
      </fill>
    </dxf>
    <dxf>
      <font>
        <b/>
        <i val="0"/>
      </font>
    </dxf>
  </dxfs>
  <tableStyles count="0" defaultTableStyle="TableStyleMedium2" defaultPivotStyle="PivotStyleLight16"/>
  <colors>
    <mruColors>
      <color rgb="FFFF9999"/>
      <color rgb="FFDDEBF7"/>
      <color rgb="FF91C6F7"/>
      <color rgb="FF00FF00"/>
      <color rgb="FF9BC2E6"/>
      <color rgb="FF073763"/>
      <color rgb="FF81B0E4"/>
      <color rgb="FFFF66CC"/>
      <color rgb="FF538DD5"/>
      <color rgb="FFAFD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microsoft.com/office/2011/relationships/chartStyle" Target="style10.xml"/><Relationship Id="rId2" Type="http://schemas.microsoft.com/office/2011/relationships/chartColorStyle" Target="colors10.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3" Type="http://schemas.microsoft.com/office/2011/relationships/chartStyle" Target="style11.xml"/><Relationship Id="rId2" Type="http://schemas.microsoft.com/office/2011/relationships/chartColorStyle" Target="colors11.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3" Type="http://schemas.microsoft.com/office/2011/relationships/chartStyle" Target="style12.xml"/><Relationship Id="rId2" Type="http://schemas.microsoft.com/office/2011/relationships/chartColorStyle" Target="colors12.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3" Type="http://schemas.microsoft.com/office/2011/relationships/chartStyle" Target="style13.xml"/><Relationship Id="rId2" Type="http://schemas.microsoft.com/office/2011/relationships/chartColorStyle" Target="colors13.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microsoft.com/office/2011/relationships/chartStyle" Target="style14.xml"/><Relationship Id="rId2" Type="http://schemas.microsoft.com/office/2011/relationships/chartColorStyle" Target="colors14.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3" Type="http://schemas.microsoft.com/office/2011/relationships/chartStyle" Target="style15.xml"/><Relationship Id="rId2" Type="http://schemas.microsoft.com/office/2011/relationships/chartColorStyle" Target="colors15.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microsoft.com/office/2011/relationships/chartStyle" Target="style2.xml"/><Relationship Id="rId2" Type="http://schemas.microsoft.com/office/2011/relationships/chartColorStyle" Target="colors2.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3" Type="http://schemas.microsoft.com/office/2011/relationships/chartStyle" Target="style20.xml"/><Relationship Id="rId2" Type="http://schemas.microsoft.com/office/2011/relationships/chartColorStyle" Target="colors20.xml"/><Relationship Id="rId1" Type="http://schemas.openxmlformats.org/officeDocument/2006/relationships/themeOverride" Target="../theme/themeOverride16.xml"/></Relationships>
</file>

<file path=xl/charts/_rels/chart21.xml.rels><?xml version="1.0" encoding="UTF-8" standalone="yes"?>
<Relationships xmlns="http://schemas.openxmlformats.org/package/2006/relationships"><Relationship Id="rId3" Type="http://schemas.microsoft.com/office/2011/relationships/chartStyle" Target="style21.xml"/><Relationship Id="rId2" Type="http://schemas.microsoft.com/office/2011/relationships/chartColorStyle" Target="colors21.xml"/><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3" Type="http://schemas.microsoft.com/office/2011/relationships/chartStyle" Target="style22.xml"/><Relationship Id="rId2" Type="http://schemas.microsoft.com/office/2011/relationships/chartColorStyle" Target="colors22.xml"/><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microsoft.com/office/2011/relationships/chartStyle" Target="style25.xml"/><Relationship Id="rId2" Type="http://schemas.microsoft.com/office/2011/relationships/chartColorStyle" Target="colors25.xml"/><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3" Type="http://schemas.microsoft.com/office/2011/relationships/chartStyle" Target="style26.xml"/><Relationship Id="rId2" Type="http://schemas.microsoft.com/office/2011/relationships/chartColorStyle" Target="colors26.xml"/><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3" Type="http://schemas.microsoft.com/office/2011/relationships/chartStyle" Target="style27.xml"/><Relationship Id="rId2" Type="http://schemas.microsoft.com/office/2011/relationships/chartColorStyle" Target="colors27.xml"/><Relationship Id="rId1" Type="http://schemas.openxmlformats.org/officeDocument/2006/relationships/themeOverride" Target="../theme/themeOverride21.xml"/></Relationships>
</file>

<file path=xl/charts/_rels/chart3.xml.rels><?xml version="1.0" encoding="UTF-8" standalone="yes"?>
<Relationships xmlns="http://schemas.openxmlformats.org/package/2006/relationships"><Relationship Id="rId3" Type="http://schemas.microsoft.com/office/2011/relationships/chartStyle" Target="style3.xml"/><Relationship Id="rId2" Type="http://schemas.microsoft.com/office/2011/relationships/chartColorStyle" Target="colors3.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3" Type="http://schemas.microsoft.com/office/2011/relationships/chartStyle" Target="style4.xml"/><Relationship Id="rId2" Type="http://schemas.microsoft.com/office/2011/relationships/chartColorStyle" Target="colors4.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microsoft.com/office/2011/relationships/chartStyle" Target="style5.xml"/><Relationship Id="rId2" Type="http://schemas.microsoft.com/office/2011/relationships/chartColorStyle" Target="colors5.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3" Type="http://schemas.microsoft.com/office/2011/relationships/chartStyle" Target="style6.xml"/><Relationship Id="rId2" Type="http://schemas.microsoft.com/office/2011/relationships/chartColorStyle" Target="colors6.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3" Type="http://schemas.microsoft.com/office/2011/relationships/chartStyle" Target="style7.xml"/><Relationship Id="rId2" Type="http://schemas.microsoft.com/office/2011/relationships/chartColorStyle" Target="colors7.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microsoft.com/office/2011/relationships/chartStyle" Target="style8.xml"/><Relationship Id="rId2" Type="http://schemas.microsoft.com/office/2011/relationships/chartColorStyle" Target="colors8.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3" Type="http://schemas.microsoft.com/office/2011/relationships/chartStyle" Target="style9.xml"/><Relationship Id="rId2" Type="http://schemas.microsoft.com/office/2011/relationships/chartColorStyle" Target="colors9.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DATOS°!$F$56:$F$58</c:f>
              <c:numCache>
                <c:formatCode>General</c:formatCode>
                <c:ptCount val="3"/>
                <c:pt idx="0">
                  <c:v>15.4</c:v>
                </c:pt>
                <c:pt idx="1">
                  <c:v>24.7</c:v>
                </c:pt>
                <c:pt idx="2" formatCode="0.0">
                  <c:v>29.4</c:v>
                </c:pt>
              </c:numCache>
            </c:numRef>
          </c:xVal>
          <c:yVal>
            <c:numRef>
              <c:f>DATOS°!$H$56:$H$58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39817728"/>
        <c:axId val="139819264"/>
      </c:scatterChart>
      <c:valAx>
        <c:axId val="1398177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9819264"/>
        <c:crosses val="autoZero"/>
        <c:crossBetween val="midCat"/>
      </c:valAx>
      <c:valAx>
        <c:axId val="1398192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98177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DATOS°!$A$89</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DATOS°!$F$89:$F$91</c:f>
              <c:numCache>
                <c:formatCode>General</c:formatCode>
                <c:ptCount val="3"/>
                <c:pt idx="0">
                  <c:v>15.5</c:v>
                </c:pt>
                <c:pt idx="1">
                  <c:v>24.6</c:v>
                </c:pt>
                <c:pt idx="2" formatCode="0.0">
                  <c:v>29.2</c:v>
                </c:pt>
              </c:numCache>
            </c:numRef>
          </c:xVal>
          <c:yVal>
            <c:numRef>
              <c:f>DATOS°!$H$89:$H$91</c:f>
              <c:numCache>
                <c:formatCode>0.0</c:formatCode>
                <c:ptCount val="3"/>
                <c:pt idx="0">
                  <c:v>-0.2</c:v>
                </c:pt>
                <c:pt idx="1">
                  <c:v>0.1</c:v>
                </c:pt>
                <c:pt idx="2">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5614208"/>
        <c:axId val="195615744"/>
      </c:scatterChart>
      <c:valAx>
        <c:axId val="1956142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615744"/>
        <c:crosses val="autoZero"/>
        <c:crossBetween val="midCat"/>
      </c:valAx>
      <c:valAx>
        <c:axId val="1956157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6142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DATOS°!$A$92</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DATOS°!$F$92:$F$94</c:f>
              <c:numCache>
                <c:formatCode>General</c:formatCode>
                <c:ptCount val="3"/>
                <c:pt idx="0">
                  <c:v>33.6</c:v>
                </c:pt>
                <c:pt idx="1">
                  <c:v>51.2</c:v>
                </c:pt>
                <c:pt idx="2">
                  <c:v>68.5</c:v>
                </c:pt>
              </c:numCache>
            </c:numRef>
          </c:xVal>
          <c:yVal>
            <c:numRef>
              <c:f>DATOS°!$H$92:$H$94</c:f>
              <c:numCache>
                <c:formatCode>General</c:formatCode>
                <c:ptCount val="3"/>
                <c:pt idx="0">
                  <c:v>-3.6</c:v>
                </c:pt>
                <c:pt idx="1">
                  <c:v>-1.2</c:v>
                </c:pt>
                <c:pt idx="2">
                  <c:v>1.5</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5199744"/>
        <c:axId val="195201280"/>
      </c:scatterChart>
      <c:valAx>
        <c:axId val="1951997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201280"/>
        <c:crosses val="autoZero"/>
        <c:crossBetween val="midCat"/>
      </c:valAx>
      <c:valAx>
        <c:axId val="1952012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1997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DATOS°!$A$95</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DATOS°!$F$95:$F$97</c:f>
              <c:numCache>
                <c:formatCode>General</c:formatCode>
                <c:ptCount val="3"/>
                <c:pt idx="0">
                  <c:v>698.3</c:v>
                </c:pt>
                <c:pt idx="1">
                  <c:v>798.4</c:v>
                </c:pt>
                <c:pt idx="2">
                  <c:v>848.7</c:v>
                </c:pt>
              </c:numCache>
            </c:numRef>
          </c:xVal>
          <c:yVal>
            <c:numRef>
              <c:f>DATOS°!$H$95:$H$97</c:f>
              <c:numCache>
                <c:formatCode>0.00</c:formatCode>
                <c:ptCount val="3"/>
                <c:pt idx="0" formatCode="General">
                  <c:v>-0.92</c:v>
                </c:pt>
                <c:pt idx="1">
                  <c:v>-0.82099999999999995</c:v>
                </c:pt>
                <c:pt idx="2" formatCode="General">
                  <c:v>-0.75</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5391488"/>
        <c:axId val="195393024"/>
      </c:scatterChart>
      <c:valAx>
        <c:axId val="1953914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393024"/>
        <c:crosses val="autoZero"/>
        <c:crossBetween val="midCat"/>
      </c:valAx>
      <c:valAx>
        <c:axId val="1953930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3914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DATOS°!$A$100</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DATOS°!$F$100:$F$102</c:f>
              <c:numCache>
                <c:formatCode>0.0</c:formatCode>
                <c:ptCount val="3"/>
                <c:pt idx="0" formatCode="General">
                  <c:v>15.4</c:v>
                </c:pt>
                <c:pt idx="1">
                  <c:v>24.7</c:v>
                </c:pt>
                <c:pt idx="2">
                  <c:v>29.4</c:v>
                </c:pt>
              </c:numCache>
            </c:numRef>
          </c:xVal>
          <c:yVal>
            <c:numRef>
              <c:f>DATOS°!$H$100:$H$102</c:f>
              <c:numCache>
                <c:formatCode>0.0</c:formatCode>
                <c:ptCount val="3"/>
                <c:pt idx="0">
                  <c:v>-0.1</c:v>
                </c:pt>
                <c:pt idx="1">
                  <c:v>0</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5423232"/>
        <c:axId val="195441408"/>
      </c:scatterChart>
      <c:valAx>
        <c:axId val="1954232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441408"/>
        <c:crosses val="autoZero"/>
        <c:crossBetween val="midCat"/>
      </c:valAx>
      <c:valAx>
        <c:axId val="1954414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4232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DATOS°!$A$103</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DATOS°!$F$103:$F$105</c:f>
              <c:numCache>
                <c:formatCode>General</c:formatCode>
                <c:ptCount val="3"/>
                <c:pt idx="0">
                  <c:v>33.6</c:v>
                </c:pt>
                <c:pt idx="1">
                  <c:v>51.2</c:v>
                </c:pt>
                <c:pt idx="2">
                  <c:v>68.3</c:v>
                </c:pt>
              </c:numCache>
            </c:numRef>
          </c:xVal>
          <c:yVal>
            <c:numRef>
              <c:f>DATOS°!$H$103:$H$105</c:f>
              <c:numCache>
                <c:formatCode>General</c:formatCode>
                <c:ptCount val="3"/>
                <c:pt idx="0">
                  <c:v>-3.6</c:v>
                </c:pt>
                <c:pt idx="1">
                  <c:v>-1.2</c:v>
                </c:pt>
                <c:pt idx="2">
                  <c:v>1.7</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5475712"/>
        <c:axId val="195485696"/>
      </c:scatterChart>
      <c:valAx>
        <c:axId val="1954757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485696"/>
        <c:crosses val="autoZero"/>
        <c:crossBetween val="midCat"/>
      </c:valAx>
      <c:valAx>
        <c:axId val="1954856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4757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DATOS°!$A$106</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DATOS°!$F$106:$F$108</c:f>
              <c:numCache>
                <c:formatCode>General</c:formatCode>
                <c:ptCount val="3"/>
                <c:pt idx="0" formatCode="0.0">
                  <c:v>698.2</c:v>
                </c:pt>
                <c:pt idx="1">
                  <c:v>751.8</c:v>
                </c:pt>
                <c:pt idx="2">
                  <c:v>798.4</c:v>
                </c:pt>
              </c:numCache>
            </c:numRef>
          </c:xVal>
          <c:yVal>
            <c:numRef>
              <c:f>DATOS°!$H$106:$H$108</c:f>
              <c:numCache>
                <c:formatCode>0.00</c:formatCode>
                <c:ptCount val="3"/>
                <c:pt idx="0" formatCode="General">
                  <c:v>-0.99</c:v>
                </c:pt>
                <c:pt idx="1">
                  <c:v>-0.88</c:v>
                </c:pt>
                <c:pt idx="2" formatCode="General">
                  <c:v>-0.73</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5343872"/>
        <c:axId val="195345408"/>
      </c:scatterChart>
      <c:valAx>
        <c:axId val="195343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345408"/>
        <c:crosses val="autoZero"/>
        <c:crossBetween val="midCat"/>
      </c:valAx>
      <c:valAx>
        <c:axId val="1953454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343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scatterChart>
        <c:scatterStyle val="lineMarker"/>
        <c:varyColors val="0"/>
        <c:ser>
          <c:idx val="0"/>
          <c:order val="0"/>
          <c:tx>
            <c:strRef>
              <c:f>DATOS°!$B$44</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DATOS°!$F$44:$F$48</c:f>
              <c:numCache>
                <c:formatCode>0.000</c:formatCode>
                <c:ptCount val="5"/>
                <c:pt idx="0">
                  <c:v>14.028</c:v>
                </c:pt>
                <c:pt idx="1">
                  <c:v>16.03</c:v>
                </c:pt>
                <c:pt idx="2">
                  <c:v>17.027999999999999</c:v>
                </c:pt>
                <c:pt idx="3" formatCode="General">
                  <c:v>18.026</c:v>
                </c:pt>
                <c:pt idx="4" formatCode="General">
                  <c:v>22.027999999999999</c:v>
                </c:pt>
              </c:numCache>
            </c:numRef>
          </c:xVal>
          <c:yVal>
            <c:numRef>
              <c:f>DATOS°!$H$44:$H$48</c:f>
              <c:numCache>
                <c:formatCode>General</c:formatCode>
                <c:ptCount val="5"/>
                <c:pt idx="0">
                  <c:v>-1.4999999999999999E-2</c:v>
                </c:pt>
                <c:pt idx="1">
                  <c:v>-1.7999999999999999E-2</c:v>
                </c:pt>
                <c:pt idx="2" formatCode="0.000">
                  <c:v>-0.02</c:v>
                </c:pt>
                <c:pt idx="3">
                  <c:v>-2.1000000000000001E-2</c:v>
                </c:pt>
                <c:pt idx="4">
                  <c:v>-2.7E-2</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95654400"/>
        <c:axId val="195655936"/>
      </c:scatterChart>
      <c:valAx>
        <c:axId val="1956544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655936"/>
        <c:crosses val="autoZero"/>
        <c:crossBetween val="midCat"/>
      </c:valAx>
      <c:valAx>
        <c:axId val="1956559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654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DATOS°!$B$38</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DATOS°!$F$38:$F$42</c:f>
              <c:numCache>
                <c:formatCode>0.000</c:formatCode>
                <c:ptCount val="5"/>
                <c:pt idx="0">
                  <c:v>14.064</c:v>
                </c:pt>
                <c:pt idx="1">
                  <c:v>16.068000000000001</c:v>
                </c:pt>
                <c:pt idx="2">
                  <c:v>17.065000000000001</c:v>
                </c:pt>
                <c:pt idx="3" formatCode="General">
                  <c:v>18.064</c:v>
                </c:pt>
                <c:pt idx="4" formatCode="General">
                  <c:v>22.067</c:v>
                </c:pt>
              </c:numCache>
            </c:numRef>
          </c:xVal>
          <c:yVal>
            <c:numRef>
              <c:f>DATOS°!$H$38:$H$42</c:f>
              <c:numCache>
                <c:formatCode>General</c:formatCode>
                <c:ptCount val="5"/>
                <c:pt idx="0">
                  <c:v>-5.0999999999999997E-2</c:v>
                </c:pt>
                <c:pt idx="1">
                  <c:v>-5.5E-2</c:v>
                </c:pt>
                <c:pt idx="2">
                  <c:v>-5.7000000000000002E-2</c:v>
                </c:pt>
                <c:pt idx="3">
                  <c:v>-5.8999999999999997E-2</c:v>
                </c:pt>
                <c:pt idx="4">
                  <c:v>-6.6000000000000003E-2</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96026368"/>
        <c:axId val="196027904"/>
      </c:scatterChart>
      <c:valAx>
        <c:axId val="1960263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027904"/>
        <c:crosses val="autoZero"/>
        <c:crossBetween val="midCat"/>
      </c:valAx>
      <c:valAx>
        <c:axId val="1960279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0263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97141248"/>
        <c:axId val="197142784"/>
      </c:scatterChart>
      <c:valAx>
        <c:axId val="1971412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142784"/>
        <c:crosses val="autoZero"/>
        <c:crossBetween val="midCat"/>
      </c:valAx>
      <c:valAx>
        <c:axId val="1971427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1412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'RT03-F11°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97177344"/>
        <c:axId val="197178880"/>
      </c:scatterChart>
      <c:valAx>
        <c:axId val="1971773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178880"/>
        <c:crosses val="autoZero"/>
        <c:crossBetween val="midCat"/>
      </c:valAx>
      <c:valAx>
        <c:axId val="1971788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1773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DATOS°!$F$59:$F$61</c:f>
              <c:numCache>
                <c:formatCode>0.0</c:formatCode>
                <c:ptCount val="3"/>
                <c:pt idx="0" formatCode="General">
                  <c:v>33.200000000000003</c:v>
                </c:pt>
                <c:pt idx="1">
                  <c:v>51.2</c:v>
                </c:pt>
                <c:pt idx="2" formatCode="General">
                  <c:v>77.2</c:v>
                </c:pt>
              </c:numCache>
            </c:numRef>
          </c:xVal>
          <c:yVal>
            <c:numRef>
              <c:f>DATOS°!$H$59:$H$61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41828096"/>
        <c:axId val="141829632"/>
      </c:scatterChart>
      <c:valAx>
        <c:axId val="1418280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829632"/>
        <c:crosses val="autoZero"/>
        <c:crossBetween val="midCat"/>
      </c:valAx>
      <c:valAx>
        <c:axId val="1418296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8280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DATOS°!$F$56:$F$58</c:f>
              <c:numCache>
                <c:formatCode>General</c:formatCode>
                <c:ptCount val="3"/>
                <c:pt idx="0">
                  <c:v>15.4</c:v>
                </c:pt>
                <c:pt idx="1">
                  <c:v>24.7</c:v>
                </c:pt>
                <c:pt idx="2" formatCode="0.0">
                  <c:v>29.4</c:v>
                </c:pt>
              </c:numCache>
            </c:numRef>
          </c:xVal>
          <c:yVal>
            <c:numRef>
              <c:f>DATOS°!$H$56:$H$58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6897792"/>
        <c:axId val="196924160"/>
      </c:scatterChart>
      <c:valAx>
        <c:axId val="1968977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924160"/>
        <c:crosses val="autoZero"/>
        <c:crossBetween val="midCat"/>
      </c:valAx>
      <c:valAx>
        <c:axId val="1969241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8977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DATOS°!$F$59:$F$61</c:f>
              <c:numCache>
                <c:formatCode>0.0</c:formatCode>
                <c:ptCount val="3"/>
                <c:pt idx="0" formatCode="General">
                  <c:v>33.200000000000003</c:v>
                </c:pt>
                <c:pt idx="1">
                  <c:v>51.2</c:v>
                </c:pt>
                <c:pt idx="2" formatCode="General">
                  <c:v>77.2</c:v>
                </c:pt>
              </c:numCache>
            </c:numRef>
          </c:xVal>
          <c:yVal>
            <c:numRef>
              <c:f>DATOS°!$H$59:$H$61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7028480"/>
        <c:axId val="197034368"/>
      </c:scatterChart>
      <c:valAx>
        <c:axId val="1970284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034368"/>
        <c:crosses val="autoZero"/>
        <c:crossBetween val="midCat"/>
      </c:valAx>
      <c:valAx>
        <c:axId val="1970343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0284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DATOS°!$F$62:$F$64</c:f>
              <c:numCache>
                <c:formatCode>General</c:formatCode>
                <c:ptCount val="3"/>
                <c:pt idx="0">
                  <c:v>698.2</c:v>
                </c:pt>
                <c:pt idx="1">
                  <c:v>798.4</c:v>
                </c:pt>
                <c:pt idx="2" formatCode="0.0">
                  <c:v>848.7</c:v>
                </c:pt>
              </c:numCache>
            </c:numRef>
          </c:xVal>
          <c:yVal>
            <c:numRef>
              <c:f>DATOS°!$H$62:$H$64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7089152"/>
        <c:axId val="197090688"/>
      </c:scatterChart>
      <c:valAx>
        <c:axId val="1970891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090688"/>
        <c:crosses val="autoZero"/>
        <c:crossBetween val="midCat"/>
      </c:valAx>
      <c:valAx>
        <c:axId val="1970906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0891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'CALIBRACION DESPUES DE AJUSTE°'!$A$8:$A$12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'CALIBRACION DESPUES DE AJUSTE°'!$C$8:$C$12</c:f>
              <c:numCache>
                <c:formatCode>0.000</c:formatCode>
                <c:ptCount val="5"/>
                <c:pt idx="0">
                  <c:v>#N/A</c:v>
                </c:pt>
                <c:pt idx="1">
                  <c:v>#N/A</c:v>
                </c:pt>
                <c:pt idx="2">
                  <c:v>#N/A</c:v>
                </c:pt>
                <c:pt idx="3">
                  <c:v>#N/A</c:v>
                </c:pt>
                <c:pt idx="4">
                  <c:v>#N/A</c:v>
                </c:pt>
              </c:numCache>
            </c:numRef>
          </c:xVal>
          <c:yVal>
            <c:numRef>
              <c:f>'CALIBRACION DESPUES DE AJUSTE°'!$G$8:$G$12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205498240"/>
        <c:axId val="205499776"/>
      </c:scatterChart>
      <c:valAx>
        <c:axId val="2054982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5499776"/>
        <c:crosses val="autoZero"/>
        <c:crossBetween val="midCat"/>
      </c:valAx>
      <c:valAx>
        <c:axId val="2054997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54982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'CALIBRACION DESPUES DE AJUSTE°'!$A$13:$A$17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'CALIBRACION DESPUES DE AJUSTE°'!$C$13:$C$17</c:f>
              <c:numCache>
                <c:formatCode>0.000</c:formatCode>
                <c:ptCount val="5"/>
                <c:pt idx="0">
                  <c:v>#N/A</c:v>
                </c:pt>
                <c:pt idx="1">
                  <c:v>#N/A</c:v>
                </c:pt>
                <c:pt idx="2">
                  <c:v>#N/A</c:v>
                </c:pt>
                <c:pt idx="3">
                  <c:v>#N/A</c:v>
                </c:pt>
                <c:pt idx="4">
                  <c:v>#N/A</c:v>
                </c:pt>
              </c:numCache>
            </c:numRef>
          </c:xVal>
          <c:yVal>
            <c:numRef>
              <c:f>'CALIBRACION DESPUES DE AJUSTE°'!$G$13:$G$17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205816960"/>
        <c:axId val="205818496"/>
      </c:scatterChart>
      <c:valAx>
        <c:axId val="2058169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5818496"/>
        <c:crosses val="autoZero"/>
        <c:crossBetween val="midCat"/>
      </c:valAx>
      <c:valAx>
        <c:axId val="2058184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58169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DATOS°!$F$56:$F$58</c:f>
              <c:numCache>
                <c:formatCode>General</c:formatCode>
                <c:ptCount val="3"/>
                <c:pt idx="0">
                  <c:v>15.4</c:v>
                </c:pt>
                <c:pt idx="1">
                  <c:v>24.7</c:v>
                </c:pt>
                <c:pt idx="2" formatCode="0.0">
                  <c:v>29.4</c:v>
                </c:pt>
              </c:numCache>
            </c:numRef>
          </c:xVal>
          <c:yVal>
            <c:numRef>
              <c:f>DATOS°!$H$56:$H$58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05830016"/>
        <c:axId val="205604352"/>
      </c:scatterChart>
      <c:valAx>
        <c:axId val="2058300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5604352"/>
        <c:crosses val="autoZero"/>
        <c:crossBetween val="midCat"/>
      </c:valAx>
      <c:valAx>
        <c:axId val="2056043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58300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DATOS°!$F$59:$F$61</c:f>
              <c:numCache>
                <c:formatCode>0.0</c:formatCode>
                <c:ptCount val="3"/>
                <c:pt idx="0" formatCode="General">
                  <c:v>33.200000000000003</c:v>
                </c:pt>
                <c:pt idx="1">
                  <c:v>51.2</c:v>
                </c:pt>
                <c:pt idx="2" formatCode="General">
                  <c:v>77.2</c:v>
                </c:pt>
              </c:numCache>
            </c:numRef>
          </c:xVal>
          <c:yVal>
            <c:numRef>
              <c:f>DATOS°!$H$59:$H$61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05531776"/>
        <c:axId val="205549952"/>
      </c:scatterChart>
      <c:valAx>
        <c:axId val="2055317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5549952"/>
        <c:crosses val="autoZero"/>
        <c:crossBetween val="midCat"/>
      </c:valAx>
      <c:valAx>
        <c:axId val="2055499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55317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DATOS°!$F$62:$F$64</c:f>
              <c:numCache>
                <c:formatCode>General</c:formatCode>
                <c:ptCount val="3"/>
                <c:pt idx="0">
                  <c:v>698.2</c:v>
                </c:pt>
                <c:pt idx="1">
                  <c:v>798.4</c:v>
                </c:pt>
                <c:pt idx="2" formatCode="0.0">
                  <c:v>848.7</c:v>
                </c:pt>
              </c:numCache>
            </c:numRef>
          </c:xVal>
          <c:yVal>
            <c:numRef>
              <c:f>DATOS°!$H$62:$H$64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05576064"/>
        <c:axId val="205577600"/>
      </c:scatterChart>
      <c:valAx>
        <c:axId val="2055760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5577600"/>
        <c:crosses val="autoZero"/>
        <c:crossBetween val="midCat"/>
      </c:valAx>
      <c:valAx>
        <c:axId val="2055776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55760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DATOS°!$F$62:$F$64</c:f>
              <c:numCache>
                <c:formatCode>General</c:formatCode>
                <c:ptCount val="3"/>
                <c:pt idx="0">
                  <c:v>698.2</c:v>
                </c:pt>
                <c:pt idx="1">
                  <c:v>798.4</c:v>
                </c:pt>
                <c:pt idx="2" formatCode="0.0">
                  <c:v>848.7</c:v>
                </c:pt>
              </c:numCache>
            </c:numRef>
          </c:xVal>
          <c:yVal>
            <c:numRef>
              <c:f>DATOS°!$H$62:$H$64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41855744"/>
        <c:axId val="141873920"/>
      </c:scatterChart>
      <c:valAx>
        <c:axId val="1418557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873920"/>
        <c:crosses val="autoZero"/>
        <c:crossBetween val="midCat"/>
      </c:valAx>
      <c:valAx>
        <c:axId val="1418739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8557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DATOS°!$A$67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DATOS°!$F$67:$F$69</c:f>
              <c:numCache>
                <c:formatCode>General</c:formatCode>
                <c:ptCount val="3"/>
                <c:pt idx="0" formatCode="0.0">
                  <c:v>15.5</c:v>
                </c:pt>
                <c:pt idx="1">
                  <c:v>24.6</c:v>
                </c:pt>
                <c:pt idx="2">
                  <c:v>33.9</c:v>
                </c:pt>
              </c:numCache>
            </c:numRef>
          </c:xVal>
          <c:yVal>
            <c:numRef>
              <c:f>DATOS°!$H$67:$H$69</c:f>
              <c:numCache>
                <c:formatCode>General</c:formatCode>
                <c:ptCount val="3"/>
                <c:pt idx="0">
                  <c:v>-0.2</c:v>
                </c:pt>
                <c:pt idx="1">
                  <c:v>0.1</c:v>
                </c:pt>
                <c:pt idx="2">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61320960"/>
        <c:axId val="161322496"/>
      </c:scatterChart>
      <c:valAx>
        <c:axId val="1613209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1322496"/>
        <c:crosses val="autoZero"/>
        <c:crossBetween val="midCat"/>
      </c:valAx>
      <c:valAx>
        <c:axId val="1613224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13209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DATOS°!$A$70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DATOS°!$F$70:$F$72</c:f>
              <c:numCache>
                <c:formatCode>General</c:formatCode>
                <c:ptCount val="3"/>
                <c:pt idx="0">
                  <c:v>32.700000000000003</c:v>
                </c:pt>
                <c:pt idx="1">
                  <c:v>50.7</c:v>
                </c:pt>
                <c:pt idx="2">
                  <c:v>68.099999999999994</c:v>
                </c:pt>
              </c:numCache>
            </c:numRef>
          </c:xVal>
          <c:yVal>
            <c:numRef>
              <c:f>DATOS°!$H$70:$H$72</c:f>
              <c:numCache>
                <c:formatCode>#,##0.0</c:formatCode>
                <c:ptCount val="3"/>
                <c:pt idx="0">
                  <c:v>-2.7</c:v>
                </c:pt>
                <c:pt idx="1">
                  <c:v>-0.7</c:v>
                </c:pt>
                <c:pt idx="2">
                  <c:v>1.8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41888896"/>
        <c:axId val="141894784"/>
      </c:scatterChart>
      <c:valAx>
        <c:axId val="1418888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894784"/>
        <c:crosses val="autoZero"/>
        <c:crossBetween val="midCat"/>
      </c:valAx>
      <c:valAx>
        <c:axId val="1418947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8888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DATOS°!$A$73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DATOS°!$F$73:$F$75</c:f>
              <c:numCache>
                <c:formatCode>General</c:formatCode>
                <c:ptCount val="3"/>
                <c:pt idx="0" formatCode="0.0">
                  <c:v>397.5</c:v>
                </c:pt>
                <c:pt idx="1">
                  <c:v>798.5</c:v>
                </c:pt>
                <c:pt idx="2">
                  <c:v>1099.5999999999999</c:v>
                </c:pt>
              </c:numCache>
            </c:numRef>
          </c:xVal>
          <c:yVal>
            <c:numRef>
              <c:f>DATOS°!$H$73:$H$75</c:f>
              <c:numCache>
                <c:formatCode>#,##0.00</c:formatCode>
                <c:ptCount val="3"/>
                <c:pt idx="0">
                  <c:v>-1.67</c:v>
                </c:pt>
                <c:pt idx="1">
                  <c:v>-0.7</c:v>
                </c:pt>
                <c:pt idx="2">
                  <c:v>-0.28999999999999998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41943936"/>
        <c:axId val="141945472"/>
      </c:scatterChart>
      <c:valAx>
        <c:axId val="1419439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945472"/>
        <c:crosses val="autoZero"/>
        <c:crossBetween val="midCat"/>
      </c:valAx>
      <c:valAx>
        <c:axId val="1419454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9439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DATOS°!$A$78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DATOS°!$F$78:$F$80</c:f>
              <c:numCache>
                <c:formatCode>General</c:formatCode>
                <c:ptCount val="3"/>
                <c:pt idx="0" formatCode="0.0">
                  <c:v>15.3</c:v>
                </c:pt>
                <c:pt idx="1">
                  <c:v>24.8</c:v>
                </c:pt>
                <c:pt idx="2">
                  <c:v>29.6</c:v>
                </c:pt>
              </c:numCache>
            </c:numRef>
          </c:xVal>
          <c:yVal>
            <c:numRef>
              <c:f>DATOS°!$H$78:$H$80</c:f>
              <c:numCache>
                <c:formatCode>0.0</c:formatCode>
                <c:ptCount val="3"/>
                <c:pt idx="0">
                  <c:v>-0.1</c:v>
                </c:pt>
                <c:pt idx="1">
                  <c:v>0</c:v>
                </c:pt>
                <c:pt idx="2" formatCode="General">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5072000"/>
        <c:axId val="195073536"/>
      </c:scatterChart>
      <c:valAx>
        <c:axId val="1950720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073536"/>
        <c:crosses val="autoZero"/>
        <c:crossBetween val="midCat"/>
      </c:valAx>
      <c:valAx>
        <c:axId val="1950735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0720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DATOS°!$A$81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DATOS°!$F$81:$F$83</c:f>
              <c:numCache>
                <c:formatCode>General</c:formatCode>
                <c:ptCount val="3"/>
                <c:pt idx="0">
                  <c:v>32.299999999999997</c:v>
                </c:pt>
                <c:pt idx="1">
                  <c:v>50.6</c:v>
                </c:pt>
                <c:pt idx="2">
                  <c:v>68.599999999999994</c:v>
                </c:pt>
              </c:numCache>
            </c:numRef>
          </c:xVal>
          <c:yVal>
            <c:numRef>
              <c:f>DATOS°!$H$81:$H$83</c:f>
              <c:numCache>
                <c:formatCode>General</c:formatCode>
                <c:ptCount val="3"/>
                <c:pt idx="0">
                  <c:v>-2.2999999999999998</c:v>
                </c:pt>
                <c:pt idx="1">
                  <c:v>-0.6</c:v>
                </c:pt>
                <c:pt idx="2">
                  <c:v>1.4</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5501056"/>
        <c:axId val="195527424"/>
      </c:scatterChart>
      <c:valAx>
        <c:axId val="1955010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527424"/>
        <c:crosses val="autoZero"/>
        <c:crossBetween val="midCat"/>
      </c:valAx>
      <c:valAx>
        <c:axId val="1955274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5010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DATOS°!$A$84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DATOS°!$F$84:$F$86</c:f>
              <c:numCache>
                <c:formatCode>General</c:formatCode>
                <c:ptCount val="3"/>
                <c:pt idx="0" formatCode="0.0">
                  <c:v>497.8</c:v>
                </c:pt>
                <c:pt idx="1">
                  <c:v>698.2</c:v>
                </c:pt>
                <c:pt idx="2">
                  <c:v>1098.8</c:v>
                </c:pt>
              </c:numCache>
            </c:numRef>
          </c:xVal>
          <c:yVal>
            <c:numRef>
              <c:f>DATOS°!$H$84:$H$86</c:f>
              <c:numCache>
                <c:formatCode>0.00</c:formatCode>
                <c:ptCount val="3"/>
                <c:pt idx="0">
                  <c:v>-1.4</c:v>
                </c:pt>
                <c:pt idx="1">
                  <c:v>-0.92</c:v>
                </c:pt>
                <c:pt idx="2">
                  <c:v>-0.68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5574016"/>
        <c:axId val="195584000"/>
      </c:scatterChart>
      <c:valAx>
        <c:axId val="1955740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584000"/>
        <c:crosses val="autoZero"/>
        <c:crossBetween val="midCat"/>
      </c:valAx>
      <c:valAx>
        <c:axId val="1955840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5740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chart" Target="../charts/chart16.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chart" Target="../charts/chart15.xml"/><Relationship Id="rId2" Type="http://schemas.openxmlformats.org/officeDocument/2006/relationships/image" Target="file:///\\Abeltran\publico\Logo%20completo.gif" TargetMode="External"/><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chart" Target="../charts/chart17.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96250</xdr:colOff>
      <xdr:row>0</xdr:row>
      <xdr:rowOff>86593</xdr:rowOff>
    </xdr:from>
    <xdr:to>
      <xdr:col>3</xdr:col>
      <xdr:colOff>967477</xdr:colOff>
      <xdr:row>0</xdr:row>
      <xdr:rowOff>921940</xdr:rowOff>
    </xdr:to>
    <xdr:pic>
      <xdr:nvPicPr>
        <xdr:cNvPr id="2" name="Picture 50" descr="\\Abeltran\publico\Logo completo.gif">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200033" y="86593"/>
          <a:ext cx="1923118" cy="835347"/>
        </a:xfrm>
        <a:prstGeom prst="rect">
          <a:avLst/>
        </a:prstGeom>
        <a:noFill/>
        <a:ln w="9525">
          <a:noFill/>
          <a:miter lim="800000"/>
          <a:headEnd/>
          <a:tailEnd/>
        </a:ln>
      </xdr:spPr>
    </xdr:pic>
    <xdr:clientData/>
  </xdr:twoCellAnchor>
  <xdr:twoCellAnchor>
    <xdr:from>
      <xdr:col>14</xdr:col>
      <xdr:colOff>88447</xdr:colOff>
      <xdr:row>59</xdr:row>
      <xdr:rowOff>222250</xdr:rowOff>
    </xdr:from>
    <xdr:to>
      <xdr:col>15</xdr:col>
      <xdr:colOff>1016000</xdr:colOff>
      <xdr:row>63</xdr:row>
      <xdr:rowOff>63500</xdr:rowOff>
    </xdr:to>
    <xdr:graphicFrame macro="">
      <xdr:nvGraphicFramePr>
        <xdr:cNvPr id="4" name="Gráfico 3">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24947</xdr:colOff>
      <xdr:row>59</xdr:row>
      <xdr:rowOff>222250</xdr:rowOff>
    </xdr:from>
    <xdr:to>
      <xdr:col>17</xdr:col>
      <xdr:colOff>889000</xdr:colOff>
      <xdr:row>63</xdr:row>
      <xdr:rowOff>15875</xdr:rowOff>
    </xdr:to>
    <xdr:graphicFrame macro="">
      <xdr:nvGraphicFramePr>
        <xdr:cNvPr id="6" name="Gráfico 5">
          <a:extLst>
            <a:ext uri="{FF2B5EF4-FFF2-40B4-BE49-F238E27FC236}">
              <a16:creationId xmlns:a16="http://schemas.microsoft.com/office/drawing/2014/main" xmlns=""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1090840</xdr:colOff>
      <xdr:row>59</xdr:row>
      <xdr:rowOff>238125</xdr:rowOff>
    </xdr:from>
    <xdr:to>
      <xdr:col>19</xdr:col>
      <xdr:colOff>904876</xdr:colOff>
      <xdr:row>62</xdr:row>
      <xdr:rowOff>374197</xdr:rowOff>
    </xdr:to>
    <xdr:graphicFrame macro="">
      <xdr:nvGraphicFramePr>
        <xdr:cNvPr id="7" name="Gráfico 6">
          <a:extLst>
            <a:ext uri="{FF2B5EF4-FFF2-40B4-BE49-F238E27FC236}">
              <a16:creationId xmlns:a16="http://schemas.microsoft.com/office/drawing/2014/main" xmlns=""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43089</xdr:colOff>
      <xdr:row>69</xdr:row>
      <xdr:rowOff>111124</xdr:rowOff>
    </xdr:from>
    <xdr:to>
      <xdr:col>15</xdr:col>
      <xdr:colOff>1016001</xdr:colOff>
      <xdr:row>72</xdr:row>
      <xdr:rowOff>208643</xdr:rowOff>
    </xdr:to>
    <xdr:graphicFrame macro="">
      <xdr:nvGraphicFramePr>
        <xdr:cNvPr id="9" name="Gráfico 8">
          <a:extLst>
            <a:ext uri="{FF2B5EF4-FFF2-40B4-BE49-F238E27FC236}">
              <a16:creationId xmlns:a16="http://schemas.microsoft.com/office/drawing/2014/main" xmlns=""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88448</xdr:colOff>
      <xdr:row>69</xdr:row>
      <xdr:rowOff>111124</xdr:rowOff>
    </xdr:from>
    <xdr:to>
      <xdr:col>17</xdr:col>
      <xdr:colOff>904876</xdr:colOff>
      <xdr:row>72</xdr:row>
      <xdr:rowOff>238125</xdr:rowOff>
    </xdr:to>
    <xdr:graphicFrame macro="">
      <xdr:nvGraphicFramePr>
        <xdr:cNvPr id="10" name="Gráfico 9">
          <a:extLst>
            <a:ext uri="{FF2B5EF4-FFF2-40B4-BE49-F238E27FC236}">
              <a16:creationId xmlns:a16="http://schemas.microsoft.com/office/drawing/2014/main" xmlns=""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1059090</xdr:colOff>
      <xdr:row>69</xdr:row>
      <xdr:rowOff>111125</xdr:rowOff>
    </xdr:from>
    <xdr:to>
      <xdr:col>19</xdr:col>
      <xdr:colOff>984250</xdr:colOff>
      <xdr:row>72</xdr:row>
      <xdr:rowOff>222250</xdr:rowOff>
    </xdr:to>
    <xdr:graphicFrame macro="">
      <xdr:nvGraphicFramePr>
        <xdr:cNvPr id="11" name="Gráfico 10">
          <a:extLst>
            <a:ext uri="{FF2B5EF4-FFF2-40B4-BE49-F238E27FC236}">
              <a16:creationId xmlns:a16="http://schemas.microsoft.com/office/drawing/2014/main" xmlns=""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90714</xdr:colOff>
      <xdr:row>80</xdr:row>
      <xdr:rowOff>190500</xdr:rowOff>
    </xdr:from>
    <xdr:to>
      <xdr:col>15</xdr:col>
      <xdr:colOff>1095375</xdr:colOff>
      <xdr:row>83</xdr:row>
      <xdr:rowOff>260804</xdr:rowOff>
    </xdr:to>
    <xdr:graphicFrame macro="">
      <xdr:nvGraphicFramePr>
        <xdr:cNvPr id="13" name="Gráfico 12">
          <a:extLst>
            <a:ext uri="{FF2B5EF4-FFF2-40B4-BE49-F238E27FC236}">
              <a16:creationId xmlns:a16="http://schemas.microsoft.com/office/drawing/2014/main" xmlns=""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70304</xdr:colOff>
      <xdr:row>80</xdr:row>
      <xdr:rowOff>190499</xdr:rowOff>
    </xdr:from>
    <xdr:to>
      <xdr:col>17</xdr:col>
      <xdr:colOff>1063625</xdr:colOff>
      <xdr:row>83</xdr:row>
      <xdr:rowOff>249464</xdr:rowOff>
    </xdr:to>
    <xdr:graphicFrame macro="">
      <xdr:nvGraphicFramePr>
        <xdr:cNvPr id="15" name="Gráfico 14">
          <a:extLst>
            <a:ext uri="{FF2B5EF4-FFF2-40B4-BE49-F238E27FC236}">
              <a16:creationId xmlns:a16="http://schemas.microsoft.com/office/drawing/2014/main" xmlns=""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117929</xdr:colOff>
      <xdr:row>80</xdr:row>
      <xdr:rowOff>127000</xdr:rowOff>
    </xdr:from>
    <xdr:to>
      <xdr:col>19</xdr:col>
      <xdr:colOff>984250</xdr:colOff>
      <xdr:row>83</xdr:row>
      <xdr:rowOff>269875</xdr:rowOff>
    </xdr:to>
    <xdr:graphicFrame macro="">
      <xdr:nvGraphicFramePr>
        <xdr:cNvPr id="16" name="Gráfico 15">
          <a:extLst>
            <a:ext uri="{FF2B5EF4-FFF2-40B4-BE49-F238E27FC236}">
              <a16:creationId xmlns:a16="http://schemas.microsoft.com/office/drawing/2014/main" xmlns=""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61233</xdr:colOff>
      <xdr:row>91</xdr:row>
      <xdr:rowOff>126999</xdr:rowOff>
    </xdr:from>
    <xdr:to>
      <xdr:col>15</xdr:col>
      <xdr:colOff>1047751</xdr:colOff>
      <xdr:row>94</xdr:row>
      <xdr:rowOff>242660</xdr:rowOff>
    </xdr:to>
    <xdr:graphicFrame macro="">
      <xdr:nvGraphicFramePr>
        <xdr:cNvPr id="17" name="Gráfico 16">
          <a:extLst>
            <a:ext uri="{FF2B5EF4-FFF2-40B4-BE49-F238E27FC236}">
              <a16:creationId xmlns:a16="http://schemas.microsoft.com/office/drawing/2014/main" xmlns=""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13608</xdr:colOff>
      <xdr:row>91</xdr:row>
      <xdr:rowOff>111125</xdr:rowOff>
    </xdr:from>
    <xdr:to>
      <xdr:col>17</xdr:col>
      <xdr:colOff>904875</xdr:colOff>
      <xdr:row>94</xdr:row>
      <xdr:rowOff>242661</xdr:rowOff>
    </xdr:to>
    <xdr:graphicFrame macro="">
      <xdr:nvGraphicFramePr>
        <xdr:cNvPr id="18" name="Gráfico 17">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1047750</xdr:colOff>
      <xdr:row>91</xdr:row>
      <xdr:rowOff>127000</xdr:rowOff>
    </xdr:from>
    <xdr:to>
      <xdr:col>19</xdr:col>
      <xdr:colOff>904875</xdr:colOff>
      <xdr:row>94</xdr:row>
      <xdr:rowOff>276679</xdr:rowOff>
    </xdr:to>
    <xdr:graphicFrame macro="">
      <xdr:nvGraphicFramePr>
        <xdr:cNvPr id="19" name="Gráfico 18">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83911</xdr:colOff>
      <xdr:row>102</xdr:row>
      <xdr:rowOff>269874</xdr:rowOff>
    </xdr:from>
    <xdr:to>
      <xdr:col>16</xdr:col>
      <xdr:colOff>0</xdr:colOff>
      <xdr:row>106</xdr:row>
      <xdr:rowOff>11339</xdr:rowOff>
    </xdr:to>
    <xdr:graphicFrame macro="">
      <xdr:nvGraphicFramePr>
        <xdr:cNvPr id="20" name="Gráfico 19">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117929</xdr:colOff>
      <xdr:row>102</xdr:row>
      <xdr:rowOff>269874</xdr:rowOff>
    </xdr:from>
    <xdr:to>
      <xdr:col>17</xdr:col>
      <xdr:colOff>1079500</xdr:colOff>
      <xdr:row>106</xdr:row>
      <xdr:rowOff>13607</xdr:rowOff>
    </xdr:to>
    <xdr:graphicFrame macro="">
      <xdr:nvGraphicFramePr>
        <xdr:cNvPr id="22" name="Gráfico 2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72573</xdr:colOff>
      <xdr:row>102</xdr:row>
      <xdr:rowOff>285750</xdr:rowOff>
    </xdr:from>
    <xdr:to>
      <xdr:col>19</xdr:col>
      <xdr:colOff>952501</xdr:colOff>
      <xdr:row>106</xdr:row>
      <xdr:rowOff>47626</xdr:rowOff>
    </xdr:to>
    <xdr:graphicFrame macro="">
      <xdr:nvGraphicFramePr>
        <xdr:cNvPr id="23" name="Gráfico 22">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170848</xdr:colOff>
      <xdr:row>42</xdr:row>
      <xdr:rowOff>52917</xdr:rowOff>
    </xdr:from>
    <xdr:to>
      <xdr:col>17</xdr:col>
      <xdr:colOff>642938</xdr:colOff>
      <xdr:row>48</xdr:row>
      <xdr:rowOff>35718</xdr:rowOff>
    </xdr:to>
    <xdr:graphicFrame macro="">
      <xdr:nvGraphicFramePr>
        <xdr:cNvPr id="24" name="Gráfico 23">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178406</xdr:colOff>
      <xdr:row>35</xdr:row>
      <xdr:rowOff>641048</xdr:rowOff>
    </xdr:from>
    <xdr:to>
      <xdr:col>17</xdr:col>
      <xdr:colOff>762000</xdr:colOff>
      <xdr:row>41</xdr:row>
      <xdr:rowOff>222250</xdr:rowOff>
    </xdr:to>
    <xdr:graphicFrame macro="">
      <xdr:nvGraphicFramePr>
        <xdr:cNvPr id="26" name="Gráfico 25">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600076</xdr:colOff>
      <xdr:row>0</xdr:row>
      <xdr:rowOff>52197</xdr:rowOff>
    </xdr:from>
    <xdr:to>
      <xdr:col>2</xdr:col>
      <xdr:colOff>297656</xdr:colOff>
      <xdr:row>0</xdr:row>
      <xdr:rowOff>892968</xdr:rowOff>
    </xdr:to>
    <xdr:pic>
      <xdr:nvPicPr>
        <xdr:cNvPr id="2" name="Picture 50" descr="\\Abeltran\publico\Logo completo.gif">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200-000005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0200-000005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200-000006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0200-000006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200-000007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0200-000007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200-000008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0200-000008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200-000009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0200-000009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343786</xdr:colOff>
      <xdr:row>76</xdr:row>
      <xdr:rowOff>38100</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200-00000A000000}"/>
                </a:ext>
              </a:extLst>
            </xdr:cNvPr>
            <xdr:cNvSpPr txBox="1"/>
          </xdr:nvSpPr>
          <xdr:spPr>
            <a:xfrm>
              <a:off x="6430261" y="280701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𝑽𝒎𝒆𝒏</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0200-00000A000000}"/>
                </a:ext>
              </a:extLst>
            </xdr:cNvPr>
            <xdr:cNvSpPr txBox="1"/>
          </xdr:nvSpPr>
          <xdr:spPr>
            <a:xfrm>
              <a:off x="6430261" y="280701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𝝏𝑽𝒕/𝝏𝜹𝑽𝒎𝒆𝒏</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218001</xdr:colOff>
      <xdr:row>78</xdr:row>
      <xdr:rowOff>112059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200-00000B000000}"/>
                </a:ext>
              </a:extLst>
            </xdr:cNvPr>
            <xdr:cNvSpPr txBox="1"/>
          </xdr:nvSpPr>
          <xdr:spPr>
            <a:xfrm>
              <a:off x="6304476" y="28525134"/>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𝑽𝒓𝒆𝒑</m:t>
                        </m:r>
                      </m:den>
                    </m:f>
                    <m:r>
                      <a:rPr lang="es-CO" sz="1200" b="1" i="1">
                        <a:latin typeface="Cambria Math" panose="02040503050406030204" pitchFamily="18" charset="0"/>
                      </a:rPr>
                      <m:t>= </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0200-00000B000000}"/>
                </a:ext>
              </a:extLst>
            </xdr:cNvPr>
            <xdr:cNvSpPr txBox="1"/>
          </xdr:nvSpPr>
          <xdr:spPr>
            <a:xfrm>
              <a:off x="6304476" y="28525134"/>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𝝏𝑽𝒕/𝝏𝜹𝑽𝒓𝒆𝒑</a:t>
              </a:r>
              <a:r>
                <a:rPr lang="es-CO" sz="1200" b="1" i="0">
                  <a:latin typeface="Cambria Math" panose="02040503050406030204" pitchFamily="18" charset="0"/>
                </a:rPr>
                <a:t>= 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152059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6238534" y="289617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𝑽𝒂𝒅𝒅</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0200-00000C000000}"/>
                </a:ext>
              </a:extLst>
            </xdr:cNvPr>
            <xdr:cNvSpPr txBox="1"/>
          </xdr:nvSpPr>
          <xdr:spPr>
            <a:xfrm>
              <a:off x="6238534" y="289617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𝝏𝑽𝒕/𝝏𝜹𝑽𝒂𝒅𝒅</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407049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200-000015000000}"/>
                </a:ext>
              </a:extLst>
            </xdr:cNvPr>
            <xdr:cNvSpPr txBox="1"/>
          </xdr:nvSpPr>
          <xdr:spPr>
            <a:xfrm>
              <a:off x="9388248"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 xmlns:a16="http://schemas.microsoft.com/office/drawing/2014/main" xmlns:a14="http://schemas.microsoft.com/office/drawing/2010/main" id="{00000000-0008-0000-0200-000015000000}"/>
                </a:ext>
              </a:extLst>
            </xdr:cNvPr>
            <xdr:cNvSpPr txBox="1"/>
          </xdr:nvSpPr>
          <xdr:spPr>
            <a:xfrm>
              <a:off x="9388248"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200-000018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2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2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115</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379399</xdr:colOff>
      <xdr:row>116</xdr:row>
      <xdr:rowOff>68037</xdr:rowOff>
    </xdr:from>
    <xdr:ext cx="464243" cy="300156"/>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200-00001C000000}"/>
                </a:ext>
              </a:extLst>
            </xdr:cNvPr>
            <xdr:cNvSpPr txBox="1"/>
          </xdr:nvSpPr>
          <xdr:spPr>
            <a:xfrm>
              <a:off x="3827449" y="44673612"/>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𝑎𝑑𝑑</m:t>
                        </m:r>
                      </m:sub>
                    </m:sSub>
                  </m:oMath>
                </m:oMathPara>
              </a14:m>
              <a:endParaRPr lang="es-CO" sz="1200">
                <a:solidFill>
                  <a:sysClr val="windowText" lastClr="000000"/>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3827449" y="44673612"/>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𝑎𝑑𝑑</a:t>
              </a:r>
              <a:endParaRPr lang="es-CO" sz="1200">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2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30" name="CuadroTexto 29">
          <a:extLst>
            <a:ext uri="{FF2B5EF4-FFF2-40B4-BE49-F238E27FC236}">
              <a16:creationId xmlns:a16="http://schemas.microsoft.com/office/drawing/2014/main" xmlns="" id="{00000000-0008-0000-02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xmlns="" id="{00000000-0008-0000-02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2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2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2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2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2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2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2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2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2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xmlns="" id="{00000000-0008-0000-02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xmlns="" id="{00000000-0008-0000-02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xmlns="" id="{00000000-0008-0000-02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xmlns="" id="{00000000-0008-0000-0200-00002C000000}"/>
            </a:ext>
          </a:extLst>
        </xdr:cNvPr>
        <xdr:cNvSpPr/>
      </xdr:nvSpPr>
      <xdr:spPr>
        <a:xfrm>
          <a:off x="733766" y="19270776"/>
          <a:ext cx="1624272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200-00002D000000}"/>
                </a:ext>
              </a:extLst>
            </xdr:cNvPr>
            <xdr:cNvSpPr txBox="1"/>
          </xdr:nvSpPr>
          <xdr:spPr>
            <a:xfrm>
              <a:off x="1349830" y="1969804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a:ea typeface="+mn-ea"/>
                          <a:cs typeface="+mn-cs"/>
                        </a:rPr>
                      </m:ctrlPr>
                    </m:dPr>
                    <m:e>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5" name="CuadroTexto 44">
              <a:extLst>
                <a:ext uri="{FF2B5EF4-FFF2-40B4-BE49-F238E27FC236}">
                  <a16:creationId xmlns="" xmlns:a16="http://schemas.microsoft.com/office/drawing/2014/main" xmlns:a14="http://schemas.microsoft.com/office/drawing/2010/main" id="{00000000-0008-0000-0200-00003E000000}"/>
                </a:ext>
              </a:extLst>
            </xdr:cNvPr>
            <xdr:cNvSpPr txBox="1"/>
          </xdr:nvSpPr>
          <xdr:spPr>
            <a:xfrm>
              <a:off x="1349830" y="1969804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200-00002E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6" name="CuadroTexto 45">
              <a:extLst>
                <a:ext uri="{FF2B5EF4-FFF2-40B4-BE49-F238E27FC236}">
                  <a16:creationId xmlns:a16="http://schemas.microsoft.com/office/drawing/2014/main" xmlns="" xmlns:a14="http://schemas.microsoft.com/office/drawing/2010/main" id="{00000000-0008-0000-0200-00002E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200-00002F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7" name="CuadroTexto 46">
              <a:extLst>
                <a:ext uri="{FF2B5EF4-FFF2-40B4-BE49-F238E27FC236}">
                  <a16:creationId xmlns="" xmlns:a16="http://schemas.microsoft.com/office/drawing/2014/main" xmlns:a14="http://schemas.microsoft.com/office/drawing/2010/main" id="{00000000-0008-0000-0200-000042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200-000030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0200-000043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200-000031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9" name="CuadroTexto 48">
              <a:extLst>
                <a:ext uri="{FF2B5EF4-FFF2-40B4-BE49-F238E27FC236}">
                  <a16:creationId xmlns="" xmlns:a16="http://schemas.microsoft.com/office/drawing/2014/main" xmlns:a14="http://schemas.microsoft.com/office/drawing/2010/main" id="{00000000-0008-0000-0200-000044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200-000032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45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200-000033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49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02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xmlns="" id="{00000000-0008-0000-02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xmlns=""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xmlns=""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6" name="Gráfico 55">
          <a:extLst>
            <a:ext uri="{FF2B5EF4-FFF2-40B4-BE49-F238E27FC236}">
              <a16:creationId xmlns:a16="http://schemas.microsoft.com/office/drawing/2014/main" xmlns=""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7" name="Gráfico 56">
          <a:extLst>
            <a:ext uri="{FF2B5EF4-FFF2-40B4-BE49-F238E27FC236}">
              <a16:creationId xmlns:a16="http://schemas.microsoft.com/office/drawing/2014/main" xmlns="" id="{00000000-0008-0000-0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8" name="Gráfico 57">
          <a:extLst>
            <a:ext uri="{FF2B5EF4-FFF2-40B4-BE49-F238E27FC236}">
              <a16:creationId xmlns:a16="http://schemas.microsoft.com/office/drawing/2014/main" xmlns="" id="{00000000-0008-0000-0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600076</xdr:colOff>
      <xdr:row>0</xdr:row>
      <xdr:rowOff>52197</xdr:rowOff>
    </xdr:from>
    <xdr:to>
      <xdr:col>2</xdr:col>
      <xdr:colOff>297656</xdr:colOff>
      <xdr:row>0</xdr:row>
      <xdr:rowOff>892968</xdr:rowOff>
    </xdr:to>
    <xdr:pic>
      <xdr:nvPicPr>
        <xdr:cNvPr id="2" name="Picture 50" descr="\\Abeltran\publico\Logo completo.gif">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200-000005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0200-000005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200-000006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0200-000006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200-000007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0200-000007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200-000008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0200-000008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200-000009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0200-000009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343786</xdr:colOff>
      <xdr:row>76</xdr:row>
      <xdr:rowOff>38100</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200-00000A000000}"/>
                </a:ext>
              </a:extLst>
            </xdr:cNvPr>
            <xdr:cNvSpPr txBox="1"/>
          </xdr:nvSpPr>
          <xdr:spPr>
            <a:xfrm>
              <a:off x="6639811" y="28117800"/>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𝑽𝒎𝒆𝒏</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0200-00000A000000}"/>
                </a:ext>
              </a:extLst>
            </xdr:cNvPr>
            <xdr:cNvSpPr txBox="1"/>
          </xdr:nvSpPr>
          <xdr:spPr>
            <a:xfrm>
              <a:off x="6639811" y="28117800"/>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𝝏𝑽𝒕/𝝏𝜹𝑽𝒎𝒆𝒏</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218001</xdr:colOff>
      <xdr:row>78</xdr:row>
      <xdr:rowOff>112059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200-00000B000000}"/>
                </a:ext>
              </a:extLst>
            </xdr:cNvPr>
            <xdr:cNvSpPr txBox="1"/>
          </xdr:nvSpPr>
          <xdr:spPr>
            <a:xfrm>
              <a:off x="6514026" y="2857275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𝑽𝒓𝒆𝒑</m:t>
                        </m:r>
                      </m:den>
                    </m:f>
                    <m:r>
                      <a:rPr lang="es-CO" sz="1200" b="1" i="1">
                        <a:latin typeface="Cambria Math" panose="02040503050406030204" pitchFamily="18" charset="0"/>
                      </a:rPr>
                      <m:t>= </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0200-00000B000000}"/>
                </a:ext>
              </a:extLst>
            </xdr:cNvPr>
            <xdr:cNvSpPr txBox="1"/>
          </xdr:nvSpPr>
          <xdr:spPr>
            <a:xfrm>
              <a:off x="6514026" y="2857275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𝝏𝑽𝒕/𝝏𝜹𝑽𝒓𝒆𝒑</a:t>
              </a:r>
              <a:r>
                <a:rPr lang="es-CO" sz="1200" b="1" i="0">
                  <a:latin typeface="Cambria Math" panose="02040503050406030204" pitchFamily="18" charset="0"/>
                </a:rPr>
                <a:t>= 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152059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6448084" y="2900938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𝑽𝒂𝒅𝒅</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0200-00000C000000}"/>
                </a:ext>
              </a:extLst>
            </xdr:cNvPr>
            <xdr:cNvSpPr txBox="1"/>
          </xdr:nvSpPr>
          <xdr:spPr>
            <a:xfrm>
              <a:off x="6448084" y="2900938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𝝏𝑽𝒕/𝝏𝜹𝑽𝒂𝒅𝒅</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407049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200-000015000000}"/>
                </a:ext>
              </a:extLst>
            </xdr:cNvPr>
            <xdr:cNvSpPr txBox="1"/>
          </xdr:nvSpPr>
          <xdr:spPr>
            <a:xfrm>
              <a:off x="9854973"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 xmlns:a16="http://schemas.microsoft.com/office/drawing/2014/main" xmlns:a14="http://schemas.microsoft.com/office/drawing/2010/main" id="{00000000-0008-0000-0200-000015000000}"/>
                </a:ext>
              </a:extLst>
            </xdr:cNvPr>
            <xdr:cNvSpPr txBox="1"/>
          </xdr:nvSpPr>
          <xdr:spPr>
            <a:xfrm>
              <a:off x="9854973"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200-000018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0200-000018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367392</xdr:colOff>
      <xdr:row>115</xdr:row>
      <xdr:rowOff>78440</xdr:rowOff>
    </xdr:from>
    <xdr:ext cx="427425" cy="261739"/>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200-00001B000000}"/>
                </a:ext>
              </a:extLst>
            </xdr:cNvPr>
            <xdr:cNvSpPr txBox="1"/>
          </xdr:nvSpPr>
          <xdr:spPr>
            <a:xfrm>
              <a:off x="3920217" y="44226815"/>
              <a:ext cx="427425" cy="261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920217" y="44226815"/>
              <a:ext cx="427425" cy="261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379399</xdr:colOff>
      <xdr:row>116</xdr:row>
      <xdr:rowOff>68037</xdr:rowOff>
    </xdr:from>
    <xdr:ext cx="464243" cy="300156"/>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200-00001C000000}"/>
                </a:ext>
              </a:extLst>
            </xdr:cNvPr>
            <xdr:cNvSpPr txBox="1"/>
          </xdr:nvSpPr>
          <xdr:spPr>
            <a:xfrm>
              <a:off x="3932224" y="44721237"/>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𝑎𝑑𝑑</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C000000}"/>
                </a:ext>
              </a:extLst>
            </xdr:cNvPr>
            <xdr:cNvSpPr txBox="1"/>
          </xdr:nvSpPr>
          <xdr:spPr>
            <a:xfrm>
              <a:off x="3932224" y="44721237"/>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𝑎𝑑𝑑</a:t>
              </a:r>
              <a:endParaRPr lang="es-CO" sz="1200">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28" name="CuadroTexto 27">
          <a:extLst>
            <a:ext uri="{FF2B5EF4-FFF2-40B4-BE49-F238E27FC236}">
              <a16:creationId xmlns:a16="http://schemas.microsoft.com/office/drawing/2014/main" xmlns="" id="{00000000-0008-0000-0200-00001E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xmlns="" id="{00000000-0008-0000-0200-000020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xmlns="" id="{00000000-0008-0000-0200-000021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200-000022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200-000023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200-000024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200-000025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200-000026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200-000027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200-000028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200-000029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200-00002A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1" name="CuadroTexto 40">
          <a:extLst>
            <a:ext uri="{FF2B5EF4-FFF2-40B4-BE49-F238E27FC236}">
              <a16:creationId xmlns:a16="http://schemas.microsoft.com/office/drawing/2014/main" xmlns="" id="{00000000-0008-0000-0200-00002B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2" name="Rectángulo redondeado 41">
          <a:extLst>
            <a:ext uri="{FF2B5EF4-FFF2-40B4-BE49-F238E27FC236}">
              <a16:creationId xmlns:a16="http://schemas.microsoft.com/office/drawing/2014/main" xmlns="" id="{00000000-0008-0000-0200-00002C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a:ea typeface="+mn-ea"/>
                          <a:cs typeface="+mn-cs"/>
                        </a:rPr>
                      </m:ctrlPr>
                    </m:dPr>
                    <m:e>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xmlns="" id="{00000000-0008-0000-0200-00002E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4" name="CuadroTexto 43">
              <a:extLst>
                <a:ext uri="{FF2B5EF4-FFF2-40B4-BE49-F238E27FC236}">
                  <a16:creationId xmlns="" xmlns:a16="http://schemas.microsoft.com/office/drawing/2014/main" xmlns:a14="http://schemas.microsoft.com/office/drawing/2010/main" id="{00000000-0008-0000-0200-00002E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200-00002F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5" name="CuadroTexto 44">
              <a:extLst>
                <a:ext uri="{FF2B5EF4-FFF2-40B4-BE49-F238E27FC236}">
                  <a16:creationId xmlns="" xmlns:a16="http://schemas.microsoft.com/office/drawing/2014/main" xmlns:a14="http://schemas.microsoft.com/office/drawing/2010/main" id="{00000000-0008-0000-0200-00002F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200-000030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6" name="CuadroTexto 45">
              <a:extLst>
                <a:ext uri="{FF2B5EF4-FFF2-40B4-BE49-F238E27FC236}">
                  <a16:creationId xmlns="" xmlns:a16="http://schemas.microsoft.com/office/drawing/2014/main" xmlns:a14="http://schemas.microsoft.com/office/drawing/2010/main" id="{00000000-0008-0000-0200-000030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200-000031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7" name="CuadroTexto 46">
              <a:extLst>
                <a:ext uri="{FF2B5EF4-FFF2-40B4-BE49-F238E27FC236}">
                  <a16:creationId xmlns="" xmlns:a16="http://schemas.microsoft.com/office/drawing/2014/main" xmlns:a14="http://schemas.microsoft.com/office/drawing/2010/main" id="{00000000-0008-0000-0200-000031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200-000032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0200-000032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200-000033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49" name="CuadroTexto 48">
              <a:extLst>
                <a:ext uri="{FF2B5EF4-FFF2-40B4-BE49-F238E27FC236}">
                  <a16:creationId xmlns="" xmlns:a16="http://schemas.microsoft.com/office/drawing/2014/main" xmlns:a14="http://schemas.microsoft.com/office/drawing/2010/main" id="{00000000-0008-0000-0200-000033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2" name="Gráfico 51">
          <a:extLst>
            <a:ext uri="{FF2B5EF4-FFF2-40B4-BE49-F238E27FC236}">
              <a16:creationId xmlns:a16="http://schemas.microsoft.com/office/drawing/2014/main" xmlns=""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3" name="Gráfico 52">
          <a:extLst>
            <a:ext uri="{FF2B5EF4-FFF2-40B4-BE49-F238E27FC236}">
              <a16:creationId xmlns:a16="http://schemas.microsoft.com/office/drawing/2014/main" xmlns=""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4" name="Gráfico 53">
          <a:extLst>
            <a:ext uri="{FF2B5EF4-FFF2-40B4-BE49-F238E27FC236}">
              <a16:creationId xmlns:a16="http://schemas.microsoft.com/office/drawing/2014/main" xmlns=""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5" name="Gráfico 54">
          <a:extLst>
            <a:ext uri="{FF2B5EF4-FFF2-40B4-BE49-F238E27FC236}">
              <a16:creationId xmlns:a16="http://schemas.microsoft.com/office/drawing/2014/main" xmlns="" id="{00000000-0008-0000-0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6" name="Gráfico 55">
          <a:extLst>
            <a:ext uri="{FF2B5EF4-FFF2-40B4-BE49-F238E27FC236}">
              <a16:creationId xmlns:a16="http://schemas.microsoft.com/office/drawing/2014/main" xmlns="" id="{00000000-0008-0000-0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19</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19</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a:ea typeface="+mn-ea"/>
                              <a:cs typeface="+mn-cs"/>
                            </a:rPr>
                          </m:ctrlPr>
                        </m:fPr>
                        <m:num>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20</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20</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47</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48</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000" b="1" i="1">
                        <a:latin typeface="Cambria Math" panose="02040503050406030204" pitchFamily="18" charset="0"/>
                      </a:rPr>
                      <m:t>𝒖</m:t>
                    </m:r>
                    <m:d>
                      <m:dPr>
                        <m:ctrlPr>
                          <a:rPr lang="es-CO" sz="1000" b="1" i="1">
                            <a:latin typeface="Cambria Math"/>
                          </a:rPr>
                        </m:ctrlPr>
                      </m:dPr>
                      <m:e>
                        <m:sSub>
                          <m:sSubPr>
                            <m:ctrlPr>
                              <a:rPr lang="es-CO" sz="1000" b="1" i="1">
                                <a:latin typeface="Cambria Math"/>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xmlns=""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xmlns=""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a:ea typeface="+mn-ea"/>
                              <a:cs typeface="+mn-cs"/>
                            </a:rPr>
                          </m:ctrlPr>
                        </m:fPr>
                        <m:num>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a:ea typeface="+mn-ea"/>
                          <a:cs typeface="+mn-cs"/>
                        </a:rPr>
                      </m:ctrlPr>
                    </m:dPr>
                    <m:e>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17</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18</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a:ea typeface="+mn-ea"/>
                            <a:cs typeface="+mn-cs"/>
                          </a:rPr>
                        </m:ctrlPr>
                      </m:fPr>
                      <m:num>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46</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xmlns=""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xmlns=""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0</xdr:col>
      <xdr:colOff>314325</xdr:colOff>
      <xdr:row>0</xdr:row>
      <xdr:rowOff>76200</xdr:rowOff>
    </xdr:from>
    <xdr:to>
      <xdr:col>2</xdr:col>
      <xdr:colOff>573792</xdr:colOff>
      <xdr:row>0</xdr:row>
      <xdr:rowOff>905435</xdr:rowOff>
    </xdr:to>
    <xdr:pic>
      <xdr:nvPicPr>
        <xdr:cNvPr id="59" name="Picture 50" descr="\\Abeltran\publico\Logo completo.gif">
          <a:extLst>
            <a:ext uri="{FF2B5EF4-FFF2-40B4-BE49-F238E27FC236}">
              <a16:creationId xmlns:a16="http://schemas.microsoft.com/office/drawing/2014/main" xmlns="" id="{00000000-0008-0000-0400-00003B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314325" y="76200"/>
          <a:ext cx="2088267" cy="829235"/>
        </a:xfrm>
        <a:prstGeom prst="rect">
          <a:avLst/>
        </a:prstGeom>
        <a:noFill/>
        <a:ln w="9525">
          <a:noFill/>
          <a:miter lim="800000"/>
          <a:headEnd/>
          <a:tailEnd/>
        </a:ln>
      </xdr:spPr>
    </xdr:pic>
    <xdr:clientData/>
  </xdr:twoCellAnchor>
  <xdr:twoCellAnchor>
    <xdr:from>
      <xdr:col>12</xdr:col>
      <xdr:colOff>9525</xdr:colOff>
      <xdr:row>10</xdr:row>
      <xdr:rowOff>0</xdr:rowOff>
    </xdr:from>
    <xdr:to>
      <xdr:col>14</xdr:col>
      <xdr:colOff>1009650</xdr:colOff>
      <xdr:row>12</xdr:row>
      <xdr:rowOff>485775</xdr:rowOff>
    </xdr:to>
    <xdr:cxnSp macro="">
      <xdr:nvCxnSpPr>
        <xdr:cNvPr id="61" name="Conector recto de flecha 60">
          <a:extLst>
            <a:ext uri="{FF2B5EF4-FFF2-40B4-BE49-F238E27FC236}">
              <a16:creationId xmlns:a16="http://schemas.microsoft.com/office/drawing/2014/main" xmlns="" id="{00000000-0008-0000-0400-00003D000000}"/>
            </a:ext>
          </a:extLst>
        </xdr:cNvPr>
        <xdr:cNvCxnSpPr/>
      </xdr:nvCxnSpPr>
      <xdr:spPr>
        <a:xfrm flipV="1">
          <a:off x="12582525" y="5124450"/>
          <a:ext cx="3095625" cy="1514475"/>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xmlns=""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46893</xdr:colOff>
      <xdr:row>46</xdr:row>
      <xdr:rowOff>169609</xdr:rowOff>
    </xdr:from>
    <xdr:to>
      <xdr:col>8</xdr:col>
      <xdr:colOff>185419</xdr:colOff>
      <xdr:row>48</xdr:row>
      <xdr:rowOff>109170</xdr:rowOff>
    </xdr:to>
    <xdr:pic>
      <xdr:nvPicPr>
        <xdr:cNvPr id="2" name="Imagen 1">
          <a:extLst>
            <a:ext uri="{FF2B5EF4-FFF2-40B4-BE49-F238E27FC236}">
              <a16:creationId xmlns:a16="http://schemas.microsoft.com/office/drawing/2014/main" xmlns="" id="{00000000-0008-0000-0500-000002000000}"/>
            </a:ext>
          </a:extLst>
        </xdr:cNvPr>
        <xdr:cNvPicPr/>
      </xdr:nvPicPr>
      <xdr:blipFill rotWithShape="1">
        <a:blip xmlns:r="http://schemas.openxmlformats.org/officeDocument/2006/relationships" r:embed="rId1"/>
        <a:srcRect l="6907" t="24203" r="3198" b="66560"/>
        <a:stretch/>
      </xdr:blipFill>
      <xdr:spPr bwMode="auto">
        <a:xfrm>
          <a:off x="464528" y="12295667"/>
          <a:ext cx="5120833" cy="39383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53</xdr:row>
      <xdr:rowOff>104098</xdr:rowOff>
    </xdr:from>
    <xdr:to>
      <xdr:col>1</xdr:col>
      <xdr:colOff>274184</xdr:colOff>
      <xdr:row>54</xdr:row>
      <xdr:rowOff>154785</xdr:rowOff>
    </xdr:to>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6930" y="9493027"/>
          <a:ext cx="219075" cy="282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55</xdr:row>
      <xdr:rowOff>176892</xdr:rowOff>
    </xdr:from>
    <xdr:ext cx="325755" cy="218795"/>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31346" y="10028463"/>
          <a:ext cx="325755" cy="218795"/>
        </a:xfrm>
        <a:prstGeom prst="rect">
          <a:avLst/>
        </a:prstGeom>
        <a:noFill/>
        <a:ln>
          <a:noFill/>
        </a:ln>
      </xdr:spPr>
    </xdr:pic>
    <xdr:clientData/>
  </xdr:oneCellAnchor>
  <xdr:oneCellAnchor>
    <xdr:from>
      <xdr:col>0</xdr:col>
      <xdr:colOff>421821</xdr:colOff>
      <xdr:row>57</xdr:row>
      <xdr:rowOff>134364</xdr:rowOff>
    </xdr:from>
    <xdr:ext cx="325755" cy="238124"/>
    <xdr:pic>
      <xdr:nvPicPr>
        <xdr:cNvPr id="5" name="Imagen 4">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0414560"/>
          <a:ext cx="325755" cy="238124"/>
        </a:xfrm>
        <a:prstGeom prst="rect">
          <a:avLst/>
        </a:prstGeom>
        <a:noFill/>
        <a:ln>
          <a:noFill/>
        </a:ln>
      </xdr:spPr>
    </xdr:pic>
    <xdr:clientData/>
  </xdr:oneCellAnchor>
  <xdr:oneCellAnchor>
    <xdr:from>
      <xdr:col>1</xdr:col>
      <xdr:colOff>19049</xdr:colOff>
      <xdr:row>59</xdr:row>
      <xdr:rowOff>183696</xdr:rowOff>
    </xdr:from>
    <xdr:ext cx="314325" cy="262468"/>
    <xdr:pic>
      <xdr:nvPicPr>
        <xdr:cNvPr id="6" name="Imagen 5">
          <a:extLst>
            <a:ext uri="{FF2B5EF4-FFF2-40B4-BE49-F238E27FC236}">
              <a16:creationId xmlns:a16="http://schemas.microsoft.com/office/drawing/2014/main" xmlns="" id="{00000000-0008-0000-0500-000006000000}"/>
            </a:ext>
          </a:extLst>
        </xdr:cNvPr>
        <xdr:cNvPicPr/>
      </xdr:nvPicPr>
      <xdr:blipFill rotWithShape="1">
        <a:blip xmlns:r="http://schemas.openxmlformats.org/officeDocument/2006/relationships" r:embed="rId1"/>
        <a:srcRect l="30917" t="27092" r="66112" b="66954"/>
        <a:stretch/>
      </xdr:blipFill>
      <xdr:spPr bwMode="auto">
        <a:xfrm>
          <a:off x="440870" y="10892517"/>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62</xdr:row>
      <xdr:rowOff>0</xdr:rowOff>
    </xdr:from>
    <xdr:to>
      <xdr:col>1</xdr:col>
      <xdr:colOff>304800</xdr:colOff>
      <xdr:row>63</xdr:row>
      <xdr:rowOff>9525</xdr:rowOff>
    </xdr:to>
    <xdr:pic>
      <xdr:nvPicPr>
        <xdr:cNvPr id="7" name="Imagen 6">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325600"/>
          <a:ext cx="3048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63</xdr:row>
      <xdr:rowOff>123825</xdr:rowOff>
    </xdr:from>
    <xdr:ext cx="409574" cy="322791"/>
    <xdr:pic>
      <xdr:nvPicPr>
        <xdr:cNvPr id="8" name="Imagen 7">
          <a:extLst>
            <a:ext uri="{FF2B5EF4-FFF2-40B4-BE49-F238E27FC236}">
              <a16:creationId xmlns:a16="http://schemas.microsoft.com/office/drawing/2014/main" xmlns="" id="{00000000-0008-0000-05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4658975"/>
          <a:ext cx="409574" cy="322791"/>
        </a:xfrm>
        <a:prstGeom prst="rect">
          <a:avLst/>
        </a:prstGeom>
        <a:noFill/>
        <a:ln>
          <a:noFill/>
        </a:ln>
      </xdr:spPr>
    </xdr:pic>
    <xdr:clientData/>
  </xdr:oneCellAnchor>
  <xdr:oneCellAnchor>
    <xdr:from>
      <xdr:col>1</xdr:col>
      <xdr:colOff>28576</xdr:colOff>
      <xdr:row>66</xdr:row>
      <xdr:rowOff>9525</xdr:rowOff>
    </xdr:from>
    <xdr:ext cx="353060" cy="195792"/>
    <xdr:pic>
      <xdr:nvPicPr>
        <xdr:cNvPr id="9" name="Imagen 8">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173325"/>
          <a:ext cx="353060" cy="195792"/>
        </a:xfrm>
        <a:prstGeom prst="rect">
          <a:avLst/>
        </a:prstGeom>
        <a:noFill/>
        <a:ln>
          <a:noFill/>
        </a:ln>
      </xdr:spPr>
    </xdr:pic>
    <xdr:clientData/>
  </xdr:oneCellAnchor>
  <xdr:oneCellAnchor>
    <xdr:from>
      <xdr:col>1</xdr:col>
      <xdr:colOff>66676</xdr:colOff>
      <xdr:row>67</xdr:row>
      <xdr:rowOff>200025</xdr:rowOff>
    </xdr:from>
    <xdr:ext cx="171450" cy="190499"/>
    <xdr:pic>
      <xdr:nvPicPr>
        <xdr:cNvPr id="10" name="Imagen 9">
          <a:extLst>
            <a:ext uri="{FF2B5EF4-FFF2-40B4-BE49-F238E27FC236}">
              <a16:creationId xmlns:a16="http://schemas.microsoft.com/office/drawing/2014/main" xmlns=""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573375"/>
          <a:ext cx="171450" cy="190499"/>
        </a:xfrm>
        <a:prstGeom prst="rect">
          <a:avLst/>
        </a:prstGeom>
        <a:noFill/>
        <a:ln>
          <a:noFill/>
        </a:ln>
      </xdr:spPr>
    </xdr:pic>
    <xdr:clientData/>
  </xdr:oneCellAnchor>
  <xdr:oneCellAnchor>
    <xdr:from>
      <xdr:col>1</xdr:col>
      <xdr:colOff>1362</xdr:colOff>
      <xdr:row>51</xdr:row>
      <xdr:rowOff>40826</xdr:rowOff>
    </xdr:from>
    <xdr:ext cx="304800" cy="244474"/>
    <xdr:pic>
      <xdr:nvPicPr>
        <xdr:cNvPr id="11" name="Imagen 10">
          <a:extLst>
            <a:ext uri="{FF2B5EF4-FFF2-40B4-BE49-F238E27FC236}">
              <a16:creationId xmlns:a16="http://schemas.microsoft.com/office/drawing/2014/main" xmlns="" id="{00000000-0008-0000-0500-00000B000000}"/>
            </a:ext>
          </a:extLst>
        </xdr:cNvPr>
        <xdr:cNvPicPr/>
      </xdr:nvPicPr>
      <xdr:blipFill rotWithShape="1">
        <a:blip xmlns:r="http://schemas.openxmlformats.org/officeDocument/2006/relationships" r:embed="rId1"/>
        <a:srcRect l="6276" t="26472" r="90088" b="67694"/>
        <a:stretch/>
      </xdr:blipFill>
      <xdr:spPr bwMode="auto">
        <a:xfrm>
          <a:off x="423183" y="9001130"/>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73</xdr:row>
      <xdr:rowOff>133350</xdr:rowOff>
    </xdr:from>
    <xdr:ext cx="378459" cy="407318"/>
    <xdr:pic>
      <xdr:nvPicPr>
        <xdr:cNvPr id="12" name="Imagen 11">
          <a:extLst>
            <a:ext uri="{FF2B5EF4-FFF2-40B4-BE49-F238E27FC236}">
              <a16:creationId xmlns:a16="http://schemas.microsoft.com/office/drawing/2014/main" xmlns="" id="{00000000-0008-0000-0500-00000C000000}"/>
            </a:ext>
          </a:extLst>
        </xdr:cNvPr>
        <xdr:cNvPicPr/>
      </xdr:nvPicPr>
      <xdr:blipFill rotWithShape="1">
        <a:blip xmlns:r="http://schemas.openxmlformats.org/officeDocument/2006/relationships" r:embed="rId1"/>
        <a:srcRect l="90522" t="25661" r="3198" b="67370"/>
        <a:stretch/>
      </xdr:blipFill>
      <xdr:spPr bwMode="auto">
        <a:xfrm>
          <a:off x="431346" y="13842546"/>
          <a:ext cx="378459" cy="4073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69</xdr:row>
      <xdr:rowOff>142874</xdr:rowOff>
    </xdr:from>
    <xdr:ext cx="390525" cy="322793"/>
    <xdr:pic>
      <xdr:nvPicPr>
        <xdr:cNvPr id="13" name="Imagen 12">
          <a:extLst>
            <a:ext uri="{FF2B5EF4-FFF2-40B4-BE49-F238E27FC236}">
              <a16:creationId xmlns:a16="http://schemas.microsoft.com/office/drawing/2014/main" xmlns="" id="{00000000-0008-0000-0500-00000D000000}"/>
            </a:ext>
          </a:extLst>
        </xdr:cNvPr>
        <xdr:cNvPicPr/>
      </xdr:nvPicPr>
      <xdr:blipFill rotWithShape="1">
        <a:blip xmlns:r="http://schemas.openxmlformats.org/officeDocument/2006/relationships" r:embed="rId1"/>
        <a:srcRect l="73767" t="26471" r="19752" b="66560"/>
        <a:stretch/>
      </xdr:blipFill>
      <xdr:spPr bwMode="auto">
        <a:xfrm>
          <a:off x="428625" y="15935324"/>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413656</xdr:colOff>
      <xdr:row>71</xdr:row>
      <xdr:rowOff>117021</xdr:rowOff>
    </xdr:from>
    <xdr:ext cx="400050" cy="304800"/>
    <xdr:pic>
      <xdr:nvPicPr>
        <xdr:cNvPr id="14" name="Imagen 13">
          <a:extLst>
            <a:ext uri="{FF2B5EF4-FFF2-40B4-BE49-F238E27FC236}">
              <a16:creationId xmlns:a16="http://schemas.microsoft.com/office/drawing/2014/main" xmlns="" id="{00000000-0008-0000-0500-00000E000000}"/>
            </a:ext>
          </a:extLst>
        </xdr:cNvPr>
        <xdr:cNvPicPr/>
      </xdr:nvPicPr>
      <xdr:blipFill rotWithShape="1">
        <a:blip xmlns:r="http://schemas.openxmlformats.org/officeDocument/2006/relationships" r:embed="rId1"/>
        <a:srcRect l="82144" t="25661" r="11217" b="67371"/>
        <a:stretch/>
      </xdr:blipFill>
      <xdr:spPr bwMode="auto">
        <a:xfrm>
          <a:off x="413656" y="13397592"/>
          <a:ext cx="400050" cy="3048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233797</xdr:colOff>
      <xdr:row>120</xdr:row>
      <xdr:rowOff>88323</xdr:rowOff>
    </xdr:from>
    <xdr:ext cx="3295196" cy="180434"/>
    <mc:AlternateContent xmlns:mc="http://schemas.openxmlformats.org/markup-compatibility/2006" xmlns:a14="http://schemas.microsoft.com/office/drawing/2010/main">
      <mc:Choice Requires="a14">
        <xdr:sp macro="" textlink="">
          <xdr:nvSpPr>
            <xdr:cNvPr id="15" name="CuadroTexto 14"/>
            <xdr:cNvSpPr txBox="1"/>
          </xdr:nvSpPr>
          <xdr:spPr>
            <a:xfrm>
              <a:off x="1702235" y="32100261"/>
              <a:ext cx="3295196" cy="180434"/>
            </a:xfrm>
            <a:prstGeom prst="rect">
              <a:avLst/>
            </a:prstGeom>
            <a:solidFill>
              <a:schemeClr val="bg1"/>
            </a:solidFill>
            <a:ln>
              <a:solidFill>
                <a:schemeClr val="bg1"/>
              </a:solidFill>
            </a:ln>
          </xdr:spPr>
          <xdr:style>
            <a:lnRef idx="2">
              <a:schemeClr val="accent2"/>
            </a:lnRef>
            <a:fillRef idx="1">
              <a:schemeClr val="lt1"/>
            </a:fillRef>
            <a:effectRef idx="0">
              <a:schemeClr val="accent2"/>
            </a:effectRef>
            <a:fontRef idx="minor">
              <a:schemeClr val="dk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200" b="0" i="1">
                        <a:solidFill>
                          <a:schemeClr val="bg1"/>
                        </a:solidFill>
                        <a:latin typeface="Cambria Math" panose="02040503050406030204" pitchFamily="18" charset="0"/>
                        <a:ea typeface="Cambria Math" panose="02040503050406030204" pitchFamily="18" charset="0"/>
                      </a:rPr>
                      <m:t>𝑅𝑒𝑔𝑙𝑎</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𝑑𝑒𝑐𝑖𝑠𝑖</m:t>
                    </m:r>
                    <m:r>
                      <a:rPr lang="es-CO" sz="1200" b="0" i="1">
                        <a:solidFill>
                          <a:schemeClr val="bg1"/>
                        </a:solidFill>
                        <a:latin typeface="Cambria Math" panose="02040503050406030204" pitchFamily="18" charset="0"/>
                        <a:ea typeface="Cambria Math" panose="02040503050406030204" pitchFamily="18" charset="0"/>
                      </a:rPr>
                      <m:t>ó</m:t>
                    </m:r>
                    <m:r>
                      <a:rPr lang="es-CO" sz="1200" b="0" i="1">
                        <a:solidFill>
                          <a:schemeClr val="bg1"/>
                        </a:solidFill>
                        <a:latin typeface="Cambria Math" panose="02040503050406030204" pitchFamily="18" charset="0"/>
                        <a:ea typeface="Cambria Math" panose="02040503050406030204" pitchFamily="18" charset="0"/>
                      </a:rPr>
                      <m:t>𝑛</m:t>
                    </m:r>
                    <m:r>
                      <a:rPr lang="es-CO" sz="1200" b="0" i="1">
                        <a:solidFill>
                          <a:schemeClr val="bg1"/>
                        </a:solidFill>
                        <a:latin typeface="Cambria Math" panose="02040503050406030204" pitchFamily="18" charset="0"/>
                        <a:ea typeface="Cambria Math" panose="02040503050406030204" pitchFamily="18" charset="0"/>
                      </a:rPr>
                      <m:t>=|</m:t>
                    </m:r>
                    <m:r>
                      <m:rPr>
                        <m:sty m:val="p"/>
                      </m:rPr>
                      <a:rPr lang="es-CO" sz="1200" b="0" i="0">
                        <a:solidFill>
                          <a:schemeClr val="bg1"/>
                        </a:solidFill>
                        <a:latin typeface="Cambria Math" panose="02040503050406030204" pitchFamily="18" charset="0"/>
                        <a:ea typeface="Cambria Math" panose="02040503050406030204" pitchFamily="18" charset="0"/>
                      </a:rPr>
                      <m:t>E</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𝑈</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𝐸𝑀𝑃</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𝐶𝑈𝑀𝑃𝐿𝐸</m:t>
                    </m:r>
                  </m:oMath>
                </m:oMathPara>
              </a14:m>
              <a:endParaRPr lang="es-CO" sz="1200">
                <a:latin typeface="Arial" panose="020B0604020202020204" pitchFamily="34" charset="0"/>
                <a:cs typeface="Arial" panose="020B0604020202020204" pitchFamily="34" charset="0"/>
              </a:endParaRPr>
            </a:p>
          </xdr:txBody>
        </xdr:sp>
      </mc:Choice>
      <mc:Fallback xmlns="">
        <xdr:sp macro="" textlink="">
          <xdr:nvSpPr>
            <xdr:cNvPr id="15" name="CuadroTexto 14"/>
            <xdr:cNvSpPr txBox="1"/>
          </xdr:nvSpPr>
          <xdr:spPr>
            <a:xfrm>
              <a:off x="1702235" y="32100261"/>
              <a:ext cx="3295196" cy="180434"/>
            </a:xfrm>
            <a:prstGeom prst="rect">
              <a:avLst/>
            </a:prstGeom>
            <a:solidFill>
              <a:schemeClr val="bg1"/>
            </a:solidFill>
            <a:ln>
              <a:solidFill>
                <a:schemeClr val="bg1"/>
              </a:solidFill>
            </a:ln>
          </xdr:spPr>
          <xdr:style>
            <a:lnRef idx="2">
              <a:schemeClr val="accent2"/>
            </a:lnRef>
            <a:fillRef idx="1">
              <a:schemeClr val="lt1"/>
            </a:fillRef>
            <a:effectRef idx="0">
              <a:schemeClr val="accent2"/>
            </a:effectRef>
            <a:fontRef idx="minor">
              <a:schemeClr val="dk1"/>
            </a:fontRef>
          </xdr:style>
          <xdr:txBody>
            <a:bodyPr vertOverflow="clip" horzOverflow="clip" wrap="none" lIns="0" tIns="0" rIns="0" bIns="0" rtlCol="0" anchor="t">
              <a:spAutoFit/>
            </a:bodyPr>
            <a:lstStyle/>
            <a:p>
              <a:pPr/>
              <a:r>
                <a:rPr lang="es-CO" sz="1200" b="0" i="0">
                  <a:solidFill>
                    <a:schemeClr val="bg1"/>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latin typeface="Arial" panose="020B0604020202020204" pitchFamily="34" charset="0"/>
                <a:cs typeface="Arial" panose="020B0604020202020204" pitchFamily="34" charset="0"/>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76200</xdr:colOff>
      <xdr:row>40</xdr:row>
      <xdr:rowOff>89014</xdr:rowOff>
    </xdr:from>
    <xdr:to>
      <xdr:col>8</xdr:col>
      <xdr:colOff>197224</xdr:colOff>
      <xdr:row>42</xdr:row>
      <xdr:rowOff>28576</xdr:rowOff>
    </xdr:to>
    <xdr:pic>
      <xdr:nvPicPr>
        <xdr:cNvPr id="2" name="Imagen 1">
          <a:extLst>
            <a:ext uri="{FF2B5EF4-FFF2-40B4-BE49-F238E27FC236}">
              <a16:creationId xmlns:a16="http://schemas.microsoft.com/office/drawing/2014/main" xmlns="" id="{00000000-0008-0000-0500-000002000000}"/>
            </a:ext>
          </a:extLst>
        </xdr:cNvPr>
        <xdr:cNvPicPr/>
      </xdr:nvPicPr>
      <xdr:blipFill rotWithShape="1">
        <a:blip xmlns:r="http://schemas.openxmlformats.org/officeDocument/2006/relationships" r:embed="rId1"/>
        <a:srcRect l="6907" t="24203" r="3198" b="66560"/>
        <a:stretch/>
      </xdr:blipFill>
      <xdr:spPr bwMode="auto">
        <a:xfrm>
          <a:off x="495300" y="9366364"/>
          <a:ext cx="5108460" cy="396762"/>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50</xdr:row>
      <xdr:rowOff>104098</xdr:rowOff>
    </xdr:from>
    <xdr:to>
      <xdr:col>1</xdr:col>
      <xdr:colOff>274184</xdr:colOff>
      <xdr:row>51</xdr:row>
      <xdr:rowOff>154785</xdr:rowOff>
    </xdr:to>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4209" y="12848548"/>
          <a:ext cx="219075" cy="279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52</xdr:row>
      <xdr:rowOff>176892</xdr:rowOff>
    </xdr:from>
    <xdr:ext cx="325755" cy="218795"/>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28625" y="13378542"/>
          <a:ext cx="325755" cy="218795"/>
        </a:xfrm>
        <a:prstGeom prst="rect">
          <a:avLst/>
        </a:prstGeom>
        <a:noFill/>
        <a:ln>
          <a:noFill/>
        </a:ln>
      </xdr:spPr>
    </xdr:pic>
    <xdr:clientData/>
  </xdr:oneCellAnchor>
  <xdr:oneCellAnchor>
    <xdr:from>
      <xdr:col>0</xdr:col>
      <xdr:colOff>421821</xdr:colOff>
      <xdr:row>54</xdr:row>
      <xdr:rowOff>134364</xdr:rowOff>
    </xdr:from>
    <xdr:ext cx="325755" cy="238124"/>
    <xdr:pic>
      <xdr:nvPicPr>
        <xdr:cNvPr id="5" name="Imagen 4">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3764639"/>
          <a:ext cx="325755" cy="238124"/>
        </a:xfrm>
        <a:prstGeom prst="rect">
          <a:avLst/>
        </a:prstGeom>
        <a:noFill/>
        <a:ln>
          <a:noFill/>
        </a:ln>
      </xdr:spPr>
    </xdr:pic>
    <xdr:clientData/>
  </xdr:oneCellAnchor>
  <xdr:oneCellAnchor>
    <xdr:from>
      <xdr:col>1</xdr:col>
      <xdr:colOff>19049</xdr:colOff>
      <xdr:row>56</xdr:row>
      <xdr:rowOff>183696</xdr:rowOff>
    </xdr:from>
    <xdr:ext cx="314325" cy="262468"/>
    <xdr:pic>
      <xdr:nvPicPr>
        <xdr:cNvPr id="6" name="Imagen 5">
          <a:extLst>
            <a:ext uri="{FF2B5EF4-FFF2-40B4-BE49-F238E27FC236}">
              <a16:creationId xmlns:a16="http://schemas.microsoft.com/office/drawing/2014/main" xmlns="" id="{00000000-0008-0000-0500-000006000000}"/>
            </a:ext>
          </a:extLst>
        </xdr:cNvPr>
        <xdr:cNvPicPr/>
      </xdr:nvPicPr>
      <xdr:blipFill rotWithShape="1">
        <a:blip xmlns:r="http://schemas.openxmlformats.org/officeDocument/2006/relationships" r:embed="rId1"/>
        <a:srcRect l="30917" t="27092" r="66112" b="66954"/>
        <a:stretch/>
      </xdr:blipFill>
      <xdr:spPr bwMode="auto">
        <a:xfrm>
          <a:off x="438149" y="14242596"/>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59</xdr:row>
      <xdr:rowOff>0</xdr:rowOff>
    </xdr:from>
    <xdr:to>
      <xdr:col>1</xdr:col>
      <xdr:colOff>304800</xdr:colOff>
      <xdr:row>60</xdr:row>
      <xdr:rowOff>9525</xdr:rowOff>
    </xdr:to>
    <xdr:pic>
      <xdr:nvPicPr>
        <xdr:cNvPr id="7" name="Imagen 6">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687550"/>
          <a:ext cx="3048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60</xdr:row>
      <xdr:rowOff>123825</xdr:rowOff>
    </xdr:from>
    <xdr:ext cx="409574" cy="322791"/>
    <xdr:pic>
      <xdr:nvPicPr>
        <xdr:cNvPr id="8" name="Imagen 7">
          <a:extLst>
            <a:ext uri="{FF2B5EF4-FFF2-40B4-BE49-F238E27FC236}">
              <a16:creationId xmlns:a16="http://schemas.microsoft.com/office/drawing/2014/main" xmlns="" id="{00000000-0008-0000-05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5039975"/>
          <a:ext cx="409574" cy="322791"/>
        </a:xfrm>
        <a:prstGeom prst="rect">
          <a:avLst/>
        </a:prstGeom>
        <a:noFill/>
        <a:ln>
          <a:noFill/>
        </a:ln>
      </xdr:spPr>
    </xdr:pic>
    <xdr:clientData/>
  </xdr:oneCellAnchor>
  <xdr:oneCellAnchor>
    <xdr:from>
      <xdr:col>1</xdr:col>
      <xdr:colOff>28576</xdr:colOff>
      <xdr:row>63</xdr:row>
      <xdr:rowOff>9525</xdr:rowOff>
    </xdr:from>
    <xdr:ext cx="353060" cy="195792"/>
    <xdr:pic>
      <xdr:nvPicPr>
        <xdr:cNvPr id="9" name="Imagen 8">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554325"/>
          <a:ext cx="353060" cy="195792"/>
        </a:xfrm>
        <a:prstGeom prst="rect">
          <a:avLst/>
        </a:prstGeom>
        <a:noFill/>
        <a:ln>
          <a:noFill/>
        </a:ln>
      </xdr:spPr>
    </xdr:pic>
    <xdr:clientData/>
  </xdr:oneCellAnchor>
  <xdr:oneCellAnchor>
    <xdr:from>
      <xdr:col>1</xdr:col>
      <xdr:colOff>66676</xdr:colOff>
      <xdr:row>64</xdr:row>
      <xdr:rowOff>200025</xdr:rowOff>
    </xdr:from>
    <xdr:ext cx="171450" cy="190499"/>
    <xdr:pic>
      <xdr:nvPicPr>
        <xdr:cNvPr id="10" name="Imagen 9">
          <a:extLst>
            <a:ext uri="{FF2B5EF4-FFF2-40B4-BE49-F238E27FC236}">
              <a16:creationId xmlns:a16="http://schemas.microsoft.com/office/drawing/2014/main" xmlns=""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973425"/>
          <a:ext cx="171450" cy="190499"/>
        </a:xfrm>
        <a:prstGeom prst="rect">
          <a:avLst/>
        </a:prstGeom>
        <a:noFill/>
        <a:ln>
          <a:noFill/>
        </a:ln>
      </xdr:spPr>
    </xdr:pic>
    <xdr:clientData/>
  </xdr:oneCellAnchor>
  <xdr:oneCellAnchor>
    <xdr:from>
      <xdr:col>1</xdr:col>
      <xdr:colOff>1362</xdr:colOff>
      <xdr:row>48</xdr:row>
      <xdr:rowOff>40826</xdr:rowOff>
    </xdr:from>
    <xdr:ext cx="304800" cy="244474"/>
    <xdr:pic>
      <xdr:nvPicPr>
        <xdr:cNvPr id="11" name="Imagen 10">
          <a:extLst>
            <a:ext uri="{FF2B5EF4-FFF2-40B4-BE49-F238E27FC236}">
              <a16:creationId xmlns:a16="http://schemas.microsoft.com/office/drawing/2014/main" xmlns="" id="{00000000-0008-0000-0500-00000B000000}"/>
            </a:ext>
          </a:extLst>
        </xdr:cNvPr>
        <xdr:cNvPicPr/>
      </xdr:nvPicPr>
      <xdr:blipFill rotWithShape="1">
        <a:blip xmlns:r="http://schemas.openxmlformats.org/officeDocument/2006/relationships" r:embed="rId1"/>
        <a:srcRect l="6276" t="26472" r="90088" b="67694"/>
        <a:stretch/>
      </xdr:blipFill>
      <xdr:spPr bwMode="auto">
        <a:xfrm>
          <a:off x="420462" y="12404276"/>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70</xdr:row>
      <xdr:rowOff>133350</xdr:rowOff>
    </xdr:from>
    <xdr:ext cx="378459" cy="407318"/>
    <xdr:pic>
      <xdr:nvPicPr>
        <xdr:cNvPr id="12" name="Imagen 11">
          <a:extLst>
            <a:ext uri="{FF2B5EF4-FFF2-40B4-BE49-F238E27FC236}">
              <a16:creationId xmlns:a16="http://schemas.microsoft.com/office/drawing/2014/main" xmlns="" id="{00000000-0008-0000-0500-00000C000000}"/>
            </a:ext>
          </a:extLst>
        </xdr:cNvPr>
        <xdr:cNvPicPr/>
      </xdr:nvPicPr>
      <xdr:blipFill rotWithShape="1">
        <a:blip xmlns:r="http://schemas.openxmlformats.org/officeDocument/2006/relationships" r:embed="rId1"/>
        <a:srcRect l="90522" t="25661" r="3198" b="67370"/>
        <a:stretch/>
      </xdr:blipFill>
      <xdr:spPr bwMode="auto">
        <a:xfrm>
          <a:off x="428625" y="17192625"/>
          <a:ext cx="378459" cy="4073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66</xdr:row>
      <xdr:rowOff>142874</xdr:rowOff>
    </xdr:from>
    <xdr:ext cx="390525" cy="322793"/>
    <xdr:pic>
      <xdr:nvPicPr>
        <xdr:cNvPr id="13" name="Imagen 12">
          <a:extLst>
            <a:ext uri="{FF2B5EF4-FFF2-40B4-BE49-F238E27FC236}">
              <a16:creationId xmlns:a16="http://schemas.microsoft.com/office/drawing/2014/main" xmlns="" id="{00000000-0008-0000-0500-00000D000000}"/>
            </a:ext>
          </a:extLst>
        </xdr:cNvPr>
        <xdr:cNvPicPr/>
      </xdr:nvPicPr>
      <xdr:blipFill rotWithShape="1">
        <a:blip xmlns:r="http://schemas.openxmlformats.org/officeDocument/2006/relationships" r:embed="rId1"/>
        <a:srcRect l="73767" t="26471" r="19752" b="66560"/>
        <a:stretch/>
      </xdr:blipFill>
      <xdr:spPr bwMode="auto">
        <a:xfrm>
          <a:off x="428625" y="163448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413656</xdr:colOff>
      <xdr:row>68</xdr:row>
      <xdr:rowOff>117021</xdr:rowOff>
    </xdr:from>
    <xdr:ext cx="400050" cy="304800"/>
    <xdr:pic>
      <xdr:nvPicPr>
        <xdr:cNvPr id="14" name="Imagen 13">
          <a:extLst>
            <a:ext uri="{FF2B5EF4-FFF2-40B4-BE49-F238E27FC236}">
              <a16:creationId xmlns:a16="http://schemas.microsoft.com/office/drawing/2014/main" xmlns="" id="{00000000-0008-0000-0500-00000E000000}"/>
            </a:ext>
          </a:extLst>
        </xdr:cNvPr>
        <xdr:cNvPicPr/>
      </xdr:nvPicPr>
      <xdr:blipFill rotWithShape="1">
        <a:blip xmlns:r="http://schemas.openxmlformats.org/officeDocument/2006/relationships" r:embed="rId1"/>
        <a:srcRect l="82144" t="25661" r="11217" b="67371"/>
        <a:stretch/>
      </xdr:blipFill>
      <xdr:spPr bwMode="auto">
        <a:xfrm>
          <a:off x="413656" y="16747671"/>
          <a:ext cx="400050" cy="3048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wsDr>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P232"/>
  <sheetViews>
    <sheetView showGridLines="0" view="pageBreakPreview" zoomScale="80" zoomScaleNormal="50" zoomScaleSheetLayoutView="80" workbookViewId="0">
      <selection activeCell="J14" sqref="J14"/>
    </sheetView>
  </sheetViews>
  <sheetFormatPr baseColWidth="10" defaultColWidth="15.7109375" defaultRowHeight="35.1" customHeight="1" x14ac:dyDescent="0.2"/>
  <cols>
    <col min="1" max="3" width="15.7109375" style="313"/>
    <col min="4" max="4" width="23.7109375" style="313" bestFit="1" customWidth="1"/>
    <col min="5" max="5" width="19.140625" style="313" customWidth="1"/>
    <col min="6" max="9" width="15.7109375" style="313"/>
    <col min="10" max="10" width="16.5703125" style="313" customWidth="1"/>
    <col min="11" max="11" width="19.7109375" style="313" customWidth="1"/>
    <col min="12" max="12" width="18.5703125" style="313" customWidth="1"/>
    <col min="13" max="13" width="18" style="313" customWidth="1"/>
    <col min="14" max="14" width="18.85546875" style="313" customWidth="1"/>
    <col min="15" max="15" width="18.28515625" style="313" customWidth="1"/>
    <col min="16" max="16" width="16.5703125" style="313" customWidth="1"/>
    <col min="17" max="17" width="12.28515625" style="313" customWidth="1"/>
    <col min="18" max="18" width="15.42578125" style="313" customWidth="1"/>
    <col min="19" max="19" width="16.5703125" style="313" customWidth="1"/>
    <col min="20" max="22" width="15.7109375" style="317"/>
    <col min="23" max="23" width="16.5703125" style="317" customWidth="1"/>
    <col min="24" max="24" width="11.7109375" style="317" customWidth="1"/>
    <col min="25" max="25" width="18.28515625" style="317" customWidth="1"/>
    <col min="26" max="28" width="16" style="317" customWidth="1"/>
    <col min="29" max="33" width="16" style="313" customWidth="1"/>
    <col min="34" max="40" width="20.7109375" style="313" customWidth="1"/>
    <col min="41" max="42" width="15.7109375" style="313"/>
    <col min="43" max="43" width="15.7109375" style="316"/>
    <col min="44" max="45" width="15.7109375" style="313"/>
    <col min="46" max="56" width="16" style="313" customWidth="1"/>
    <col min="57" max="58" width="16" style="313" bestFit="1" customWidth="1"/>
    <col min="59" max="16384" width="15.7109375" style="313"/>
  </cols>
  <sheetData>
    <row r="1" spans="1:94" ht="80.099999999999994" customHeight="1" thickBot="1" x14ac:dyDescent="0.25">
      <c r="A1" s="310"/>
      <c r="B1" s="310"/>
      <c r="C1" s="311"/>
      <c r="D1" s="312"/>
      <c r="E1" s="1207" t="s">
        <v>316</v>
      </c>
      <c r="F1" s="1208"/>
      <c r="G1" s="1208"/>
      <c r="H1" s="1208"/>
      <c r="I1" s="1208"/>
      <c r="J1" s="1208"/>
      <c r="K1" s="1208"/>
      <c r="L1" s="1208"/>
      <c r="M1" s="1208"/>
      <c r="N1" s="1208"/>
      <c r="O1" s="1208"/>
      <c r="P1" s="1208"/>
      <c r="Q1" s="1208"/>
      <c r="R1" s="1208"/>
      <c r="S1" s="1208"/>
      <c r="T1" s="1208"/>
      <c r="U1" s="1208"/>
      <c r="V1" s="1209"/>
      <c r="W1" s="314"/>
      <c r="X1" s="314"/>
      <c r="Y1" s="314"/>
      <c r="Z1" s="314"/>
      <c r="AA1" s="314"/>
      <c r="AB1" s="314"/>
      <c r="AC1" s="314"/>
      <c r="AD1" s="314"/>
      <c r="AG1" s="310"/>
      <c r="AH1" s="310"/>
      <c r="AI1" s="314"/>
      <c r="AJ1" s="314"/>
      <c r="AK1" s="314"/>
      <c r="AL1" s="314"/>
      <c r="AM1" s="314"/>
      <c r="AN1" s="314"/>
      <c r="AO1" s="314"/>
      <c r="AP1" s="314"/>
      <c r="AQ1" s="315"/>
      <c r="AR1" s="314"/>
      <c r="AS1" s="314"/>
      <c r="AT1" s="314"/>
      <c r="AU1" s="314"/>
      <c r="AW1" s="310"/>
      <c r="AX1" s="310"/>
      <c r="AY1" s="314"/>
      <c r="AZ1" s="314"/>
      <c r="BA1" s="314"/>
      <c r="BB1" s="314"/>
      <c r="BC1" s="314"/>
      <c r="BD1" s="314"/>
      <c r="BE1" s="314"/>
      <c r="BF1" s="314"/>
      <c r="BG1" s="314"/>
      <c r="BH1" s="314"/>
      <c r="BI1" s="314"/>
      <c r="BJ1" s="314"/>
      <c r="BK1" s="314"/>
      <c r="BL1" s="314"/>
      <c r="BM1" s="314"/>
    </row>
    <row r="2" spans="1:94" ht="35.1" customHeight="1" x14ac:dyDescent="0.2">
      <c r="C2" s="310"/>
      <c r="T2" s="313"/>
      <c r="U2" s="313"/>
      <c r="V2" s="313"/>
      <c r="W2" s="313"/>
      <c r="X2" s="313"/>
      <c r="Y2" s="313"/>
      <c r="Z2" s="313"/>
      <c r="AA2" s="313"/>
      <c r="AB2" s="313"/>
    </row>
    <row r="3" spans="1:94" ht="35.1" customHeight="1" x14ac:dyDescent="0.2">
      <c r="U3" s="313"/>
      <c r="V3" s="313"/>
      <c r="W3" s="313"/>
      <c r="X3" s="313"/>
      <c r="Y3" s="313"/>
      <c r="Z3" s="313"/>
      <c r="AA3" s="313"/>
      <c r="AB3" s="313"/>
      <c r="AH3" s="317"/>
      <c r="AI3" s="317"/>
      <c r="AJ3" s="317"/>
      <c r="AK3" s="317"/>
      <c r="AL3" s="317"/>
      <c r="AM3" s="317"/>
      <c r="AN3" s="317"/>
      <c r="AO3" s="317"/>
      <c r="AP3" s="317"/>
    </row>
    <row r="4" spans="1:94" ht="30" customHeight="1" thickBot="1" x14ac:dyDescent="0.25">
      <c r="U4" s="313"/>
      <c r="V4" s="313"/>
      <c r="W4" s="313"/>
      <c r="X4" s="313"/>
      <c r="Y4" s="313"/>
      <c r="Z4" s="313"/>
      <c r="AA4" s="313"/>
      <c r="AB4" s="313"/>
      <c r="AV4" s="310"/>
      <c r="BE4" s="310"/>
    </row>
    <row r="5" spans="1:94" ht="69.95" customHeight="1" thickBot="1" x14ac:dyDescent="0.25">
      <c r="D5" s="1239" t="s">
        <v>301</v>
      </c>
      <c r="E5" s="1240"/>
      <c r="F5" s="1240"/>
      <c r="G5" s="1240"/>
      <c r="H5" s="1240"/>
      <c r="I5" s="1240"/>
      <c r="J5" s="1240"/>
      <c r="K5" s="1240"/>
      <c r="L5" s="1240"/>
      <c r="M5" s="1240"/>
      <c r="N5" s="1241"/>
      <c r="U5" s="313"/>
      <c r="V5" s="313"/>
      <c r="W5" s="313"/>
      <c r="X5" s="313"/>
      <c r="Y5" s="313"/>
      <c r="Z5" s="313"/>
      <c r="AA5" s="313"/>
      <c r="AB5" s="313"/>
      <c r="AD5" s="318"/>
      <c r="AV5" s="310"/>
      <c r="BE5" s="319"/>
    </row>
    <row r="6" spans="1:94" ht="69.95" customHeight="1" thickBot="1" x14ac:dyDescent="0.3">
      <c r="D6" s="436" t="s">
        <v>240</v>
      </c>
      <c r="E6" s="437" t="s">
        <v>53</v>
      </c>
      <c r="F6" s="438" t="s">
        <v>198</v>
      </c>
      <c r="G6" s="438" t="s">
        <v>199</v>
      </c>
      <c r="H6" s="438" t="s">
        <v>462</v>
      </c>
      <c r="I6" s="438" t="s">
        <v>30</v>
      </c>
      <c r="J6" s="438" t="s">
        <v>380</v>
      </c>
      <c r="K6" s="439" t="s">
        <v>52</v>
      </c>
      <c r="L6" s="439" t="s">
        <v>495</v>
      </c>
      <c r="M6" s="435" t="s">
        <v>372</v>
      </c>
      <c r="N6" s="435" t="s">
        <v>302</v>
      </c>
      <c r="AV6" s="310"/>
      <c r="BE6" s="310"/>
      <c r="BY6" s="320"/>
    </row>
    <row r="7" spans="1:94" ht="30" customHeight="1" thickBot="1" x14ac:dyDescent="0.25">
      <c r="D7" s="321"/>
      <c r="E7" s="322"/>
      <c r="F7" s="322"/>
      <c r="G7" s="322"/>
      <c r="H7" s="440"/>
      <c r="I7" s="322"/>
      <c r="J7" s="322"/>
      <c r="K7" s="322"/>
      <c r="L7" s="322"/>
      <c r="M7" s="442"/>
      <c r="N7" s="496"/>
      <c r="P7" s="1227" t="s">
        <v>463</v>
      </c>
      <c r="Q7" s="1228"/>
      <c r="R7" s="1228"/>
      <c r="S7" s="1228"/>
      <c r="T7" s="1228"/>
      <c r="U7" s="1229"/>
      <c r="AV7" s="325"/>
      <c r="BE7" s="310"/>
    </row>
    <row r="8" spans="1:94" s="326" customFormat="1" ht="30" customHeight="1" thickBot="1" x14ac:dyDescent="0.25">
      <c r="B8" s="313"/>
      <c r="C8" s="313"/>
      <c r="D8" s="540">
        <v>1</v>
      </c>
      <c r="E8" s="538" t="s">
        <v>497</v>
      </c>
      <c r="F8" s="635"/>
      <c r="G8" s="38" t="s">
        <v>540</v>
      </c>
      <c r="H8" s="539" t="s">
        <v>496</v>
      </c>
      <c r="I8" s="635"/>
      <c r="J8" s="636"/>
      <c r="K8" s="637"/>
      <c r="L8" s="637"/>
      <c r="M8" s="636"/>
      <c r="N8" s="638"/>
      <c r="P8" s="323" t="s">
        <v>240</v>
      </c>
      <c r="Q8" s="1221" t="s">
        <v>464</v>
      </c>
      <c r="R8" s="1222"/>
      <c r="S8" s="1222"/>
      <c r="T8" s="1222"/>
      <c r="U8" s="1223"/>
      <c r="AI8" s="313"/>
      <c r="AJ8" s="313"/>
      <c r="AV8" s="325"/>
      <c r="BE8" s="325"/>
      <c r="BZ8" s="313"/>
      <c r="CA8" s="313"/>
      <c r="CB8" s="313"/>
      <c r="CC8" s="313"/>
      <c r="CD8" s="313"/>
      <c r="CE8" s="313"/>
      <c r="CF8" s="313"/>
      <c r="CG8" s="313"/>
      <c r="CH8" s="313"/>
      <c r="CI8" s="313"/>
      <c r="CJ8" s="313"/>
      <c r="CK8" s="313"/>
      <c r="CL8" s="313"/>
      <c r="CM8" s="313"/>
      <c r="CN8" s="313"/>
      <c r="CO8" s="313"/>
      <c r="CP8" s="313"/>
    </row>
    <row r="9" spans="1:94" s="326" customFormat="1" ht="30" customHeight="1" thickBot="1" x14ac:dyDescent="0.25">
      <c r="B9" s="313"/>
      <c r="C9" s="313"/>
      <c r="D9" s="328"/>
      <c r="E9" s="329"/>
      <c r="F9" s="330"/>
      <c r="G9" s="329"/>
      <c r="H9" s="441"/>
      <c r="I9" s="330"/>
      <c r="J9" s="329"/>
      <c r="K9" s="329"/>
      <c r="L9" s="329"/>
      <c r="M9" s="329"/>
      <c r="N9" s="443"/>
      <c r="P9" s="327"/>
      <c r="Q9" s="1230"/>
      <c r="R9" s="1231"/>
      <c r="S9" s="1224"/>
      <c r="T9" s="1225"/>
      <c r="U9" s="1226"/>
      <c r="AI9" s="313"/>
      <c r="AJ9" s="313"/>
      <c r="AV9" s="325"/>
      <c r="BE9" s="325"/>
      <c r="BZ9" s="313"/>
      <c r="CA9" s="313"/>
      <c r="CB9" s="313"/>
      <c r="CC9" s="313"/>
      <c r="CD9" s="313"/>
      <c r="CE9" s="313"/>
      <c r="CF9" s="313"/>
      <c r="CG9" s="313"/>
      <c r="CH9" s="313"/>
      <c r="CI9" s="313"/>
      <c r="CJ9" s="313"/>
      <c r="CK9" s="313"/>
      <c r="CL9" s="313"/>
      <c r="CM9" s="313"/>
      <c r="CN9" s="313"/>
      <c r="CO9" s="313"/>
      <c r="CP9" s="313"/>
    </row>
    <row r="10" spans="1:94" s="326" customFormat="1" ht="30" customHeight="1" thickBot="1" x14ac:dyDescent="0.25">
      <c r="B10" s="313"/>
      <c r="C10" s="313"/>
      <c r="D10" s="333"/>
      <c r="E10" s="334"/>
      <c r="F10" s="335"/>
      <c r="G10" s="334"/>
      <c r="H10" s="335"/>
      <c r="I10" s="333"/>
      <c r="J10" s="333"/>
      <c r="K10" s="333"/>
      <c r="L10" s="333"/>
      <c r="M10" s="313"/>
      <c r="N10" s="313"/>
      <c r="O10" s="313"/>
      <c r="P10" s="540" t="s">
        <v>298</v>
      </c>
      <c r="Q10" s="545" t="s">
        <v>249</v>
      </c>
      <c r="R10" s="546"/>
      <c r="S10" s="547" t="s">
        <v>465</v>
      </c>
      <c r="T10" s="548"/>
      <c r="U10" s="549" t="s">
        <v>403</v>
      </c>
      <c r="W10" s="313"/>
      <c r="X10" s="313"/>
      <c r="AI10" s="313"/>
      <c r="AJ10" s="313"/>
      <c r="AV10" s="325"/>
      <c r="BE10" s="325"/>
      <c r="BZ10" s="313"/>
      <c r="CA10" s="313"/>
      <c r="CB10" s="313"/>
      <c r="CC10" s="313"/>
      <c r="CD10" s="313"/>
      <c r="CE10" s="313"/>
      <c r="CF10" s="313"/>
      <c r="CG10" s="313"/>
      <c r="CH10" s="313"/>
      <c r="CI10" s="313"/>
      <c r="CJ10" s="313"/>
      <c r="CK10" s="313"/>
      <c r="CL10" s="313"/>
      <c r="CM10" s="313"/>
      <c r="CN10" s="313"/>
      <c r="CO10" s="313"/>
      <c r="CP10" s="313"/>
    </row>
    <row r="11" spans="1:94" s="326" customFormat="1" ht="30" customHeight="1" x14ac:dyDescent="0.2">
      <c r="B11" s="1242" t="s">
        <v>415</v>
      </c>
      <c r="C11" s="1243"/>
      <c r="D11" s="1243"/>
      <c r="E11" s="1243"/>
      <c r="F11" s="1243"/>
      <c r="G11" s="1243"/>
      <c r="H11" s="1243"/>
      <c r="I11" s="1243"/>
      <c r="J11" s="1243"/>
      <c r="K11" s="1243"/>
      <c r="L11" s="1243"/>
      <c r="M11" s="1243"/>
      <c r="N11" s="1244"/>
      <c r="O11" s="313"/>
      <c r="P11" s="540" t="s">
        <v>299</v>
      </c>
      <c r="Q11" s="545" t="s">
        <v>171</v>
      </c>
      <c r="R11" s="546"/>
      <c r="S11" s="546" t="s">
        <v>466</v>
      </c>
      <c r="T11" s="546"/>
      <c r="U11" s="549" t="s">
        <v>403</v>
      </c>
      <c r="W11" s="313"/>
      <c r="X11" s="313"/>
      <c r="AI11" s="313"/>
      <c r="AJ11" s="313"/>
      <c r="AV11" s="325"/>
      <c r="BE11" s="325"/>
      <c r="BZ11" s="313"/>
      <c r="CA11" s="313"/>
      <c r="CB11" s="313"/>
      <c r="CC11" s="313"/>
      <c r="CD11" s="313"/>
      <c r="CE11" s="313"/>
      <c r="CF11" s="313"/>
      <c r="CG11" s="313"/>
      <c r="CH11" s="313"/>
      <c r="CI11" s="313"/>
      <c r="CJ11" s="313"/>
      <c r="CK11" s="313"/>
      <c r="CL11" s="313"/>
      <c r="CM11" s="313"/>
      <c r="CN11" s="313"/>
      <c r="CO11" s="313"/>
      <c r="CP11" s="313"/>
    </row>
    <row r="12" spans="1:94" s="326" customFormat="1" ht="30" customHeight="1" thickBot="1" x14ac:dyDescent="0.25">
      <c r="B12" s="1245"/>
      <c r="C12" s="1246"/>
      <c r="D12" s="1246"/>
      <c r="E12" s="1246"/>
      <c r="F12" s="1246"/>
      <c r="G12" s="1246"/>
      <c r="H12" s="1246"/>
      <c r="I12" s="1246"/>
      <c r="J12" s="1246"/>
      <c r="K12" s="1246"/>
      <c r="L12" s="1246"/>
      <c r="M12" s="1246"/>
      <c r="N12" s="1247"/>
      <c r="O12" s="313"/>
      <c r="P12" s="550" t="s">
        <v>300</v>
      </c>
      <c r="Q12" s="551" t="s">
        <v>248</v>
      </c>
      <c r="R12" s="552"/>
      <c r="S12" s="552" t="s">
        <v>403</v>
      </c>
      <c r="T12" s="552"/>
      <c r="U12" s="549" t="s">
        <v>403</v>
      </c>
      <c r="W12" s="313"/>
      <c r="X12" s="313"/>
      <c r="Y12" s="325"/>
      <c r="AI12" s="313"/>
      <c r="AJ12" s="313"/>
      <c r="AV12" s="310"/>
      <c r="BE12" s="325"/>
      <c r="BZ12" s="313"/>
      <c r="CA12" s="313"/>
      <c r="CB12" s="313"/>
      <c r="CC12" s="313"/>
      <c r="CD12" s="313"/>
      <c r="CE12" s="313"/>
      <c r="CF12" s="313"/>
      <c r="CG12" s="313"/>
      <c r="CH12" s="313"/>
      <c r="CI12" s="313"/>
      <c r="CJ12" s="313"/>
      <c r="CK12" s="313"/>
      <c r="CL12" s="313"/>
      <c r="CM12" s="313"/>
      <c r="CN12" s="313"/>
      <c r="CO12" s="313"/>
      <c r="CP12" s="313"/>
    </row>
    <row r="13" spans="1:94" ht="80.099999999999994" customHeight="1" thickBot="1" x14ac:dyDescent="0.25">
      <c r="B13" s="524" t="s">
        <v>240</v>
      </c>
      <c r="C13" s="523" t="s">
        <v>44</v>
      </c>
      <c r="D13" s="523" t="s">
        <v>45</v>
      </c>
      <c r="E13" s="523" t="s">
        <v>208</v>
      </c>
      <c r="F13" s="523" t="s">
        <v>244</v>
      </c>
      <c r="G13" s="523" t="s">
        <v>333</v>
      </c>
      <c r="H13" s="525" t="s">
        <v>243</v>
      </c>
      <c r="I13" s="523" t="s">
        <v>245</v>
      </c>
      <c r="J13" s="525" t="s">
        <v>242</v>
      </c>
      <c r="K13" s="523" t="s">
        <v>241</v>
      </c>
      <c r="L13" s="523" t="s">
        <v>246</v>
      </c>
      <c r="M13" s="523" t="s">
        <v>247</v>
      </c>
      <c r="N13" s="523" t="s">
        <v>302</v>
      </c>
      <c r="O13" s="317"/>
      <c r="P13" s="317"/>
      <c r="Q13" s="317"/>
      <c r="R13" s="317"/>
      <c r="S13" s="317"/>
      <c r="W13" s="313"/>
      <c r="X13" s="313"/>
      <c r="Y13" s="326"/>
      <c r="AV13" s="310"/>
      <c r="BE13" s="310"/>
    </row>
    <row r="14" spans="1:94" ht="30" customHeight="1" thickBot="1" x14ac:dyDescent="0.25">
      <c r="B14" s="321"/>
      <c r="C14" s="336"/>
      <c r="D14" s="336"/>
      <c r="E14" s="336"/>
      <c r="F14" s="336"/>
      <c r="G14" s="336"/>
      <c r="H14" s="283"/>
      <c r="I14" s="336"/>
      <c r="J14" s="534"/>
      <c r="K14" s="336"/>
      <c r="L14" s="336"/>
      <c r="M14" s="336"/>
      <c r="N14" s="337"/>
      <c r="O14" s="317"/>
      <c r="P14" s="317"/>
      <c r="Q14" s="712"/>
      <c r="R14" s="712"/>
      <c r="S14" s="318"/>
      <c r="T14" s="1232"/>
      <c r="U14" s="1232"/>
      <c r="V14" s="1232"/>
      <c r="W14" s="313"/>
      <c r="X14" s="313"/>
      <c r="Y14" s="313"/>
      <c r="AV14" s="310"/>
      <c r="BE14" s="310"/>
    </row>
    <row r="15" spans="1:94" ht="30" customHeight="1" thickBot="1" x14ac:dyDescent="0.25">
      <c r="B15" s="540">
        <v>1</v>
      </c>
      <c r="C15" s="639"/>
      <c r="D15" s="1131"/>
      <c r="E15" s="640"/>
      <c r="F15" s="541">
        <v>20</v>
      </c>
      <c r="G15" s="541" t="s">
        <v>498</v>
      </c>
      <c r="H15" s="1062" t="e">
        <f>VLOOKUP(H14,DATOS°!P112:S116,4,FALSE)</f>
        <v>#N/A</v>
      </c>
      <c r="I15" s="1062" t="e">
        <f>H15</f>
        <v>#N/A</v>
      </c>
      <c r="J15" s="66" t="e">
        <f>VLOOKUP(J14,DATOS°!U112:V115,2,FALSE)</f>
        <v>#N/A</v>
      </c>
      <c r="K15" s="728" t="e">
        <f>AVERAGE(K17:K19)</f>
        <v>#DIV/0!</v>
      </c>
      <c r="L15" s="30">
        <v>5.0000000000000001E-3</v>
      </c>
      <c r="M15" s="66">
        <v>9.9000000000000001E-6</v>
      </c>
      <c r="N15" s="542">
        <f>N8</f>
        <v>0</v>
      </c>
      <c r="O15" s="317"/>
      <c r="P15" s="317"/>
      <c r="Q15" s="317"/>
      <c r="R15" s="317"/>
      <c r="T15" s="324"/>
      <c r="Y15" s="313"/>
      <c r="AV15" s="310"/>
      <c r="BE15" s="310"/>
    </row>
    <row r="16" spans="1:94" ht="30" customHeight="1" thickBot="1" x14ac:dyDescent="0.25">
      <c r="B16" s="328"/>
      <c r="C16" s="329"/>
      <c r="D16" s="329"/>
      <c r="E16" s="329"/>
      <c r="F16" s="329"/>
      <c r="G16" s="329"/>
      <c r="H16" s="329"/>
      <c r="I16" s="329"/>
      <c r="J16" s="527"/>
      <c r="K16" s="529" t="s">
        <v>421</v>
      </c>
      <c r="L16" s="528"/>
      <c r="M16" s="329"/>
      <c r="N16" s="331"/>
      <c r="O16" s="317"/>
      <c r="P16" s="317"/>
      <c r="Q16" s="317"/>
      <c r="R16" s="317"/>
      <c r="T16" s="324"/>
      <c r="Y16" s="313"/>
      <c r="AV16" s="310"/>
      <c r="BE16" s="310"/>
    </row>
    <row r="17" spans="1:58" ht="30" customHeight="1" x14ac:dyDescent="0.2">
      <c r="B17" s="310"/>
      <c r="C17" s="310"/>
      <c r="D17" s="333"/>
      <c r="E17" s="334"/>
      <c r="F17" s="338"/>
      <c r="G17" s="334"/>
      <c r="H17" s="338"/>
      <c r="I17" s="334"/>
      <c r="J17" s="334"/>
      <c r="K17" s="641"/>
      <c r="L17" s="334"/>
      <c r="O17" s="317"/>
      <c r="P17" s="317"/>
      <c r="Q17" s="317"/>
      <c r="R17" s="317"/>
      <c r="T17" s="324"/>
      <c r="AV17" s="310"/>
      <c r="BE17" s="310"/>
    </row>
    <row r="18" spans="1:58" ht="30" customHeight="1" x14ac:dyDescent="0.2">
      <c r="B18" s="310"/>
      <c r="C18" s="310"/>
      <c r="D18" s="333"/>
      <c r="E18" s="334"/>
      <c r="F18" s="338"/>
      <c r="G18" s="334"/>
      <c r="H18" s="338"/>
      <c r="I18" s="334"/>
      <c r="J18" s="334"/>
      <c r="K18" s="642"/>
      <c r="L18" s="334"/>
      <c r="O18" s="317"/>
      <c r="P18" s="317"/>
      <c r="Q18" s="317"/>
      <c r="R18" s="317"/>
      <c r="T18" s="324"/>
      <c r="AV18" s="310"/>
      <c r="BE18" s="310"/>
    </row>
    <row r="19" spans="1:58" ht="30" customHeight="1" thickBot="1" x14ac:dyDescent="0.25">
      <c r="B19" s="310"/>
      <c r="C19" s="310"/>
      <c r="D19" s="333"/>
      <c r="E19" s="334"/>
      <c r="F19" s="338"/>
      <c r="G19" s="334"/>
      <c r="H19" s="338"/>
      <c r="I19" s="334"/>
      <c r="J19" s="334"/>
      <c r="K19" s="643"/>
      <c r="L19" s="334"/>
      <c r="O19" s="317"/>
      <c r="P19" s="317"/>
      <c r="Q19" s="317"/>
      <c r="R19" s="317"/>
      <c r="T19" s="324"/>
      <c r="AV19" s="310"/>
      <c r="AW19" s="310"/>
      <c r="AX19" s="310"/>
      <c r="AY19" s="310"/>
      <c r="AZ19" s="310"/>
      <c r="BA19" s="310"/>
      <c r="BB19" s="310"/>
      <c r="BC19" s="310"/>
      <c r="BD19" s="310"/>
      <c r="BE19" s="310"/>
    </row>
    <row r="20" spans="1:58" ht="30" customHeight="1" thickBot="1" x14ac:dyDescent="0.25">
      <c r="A20" s="339"/>
      <c r="B20" s="340"/>
      <c r="C20" s="341"/>
      <c r="D20" s="56"/>
      <c r="E20" s="56"/>
      <c r="F20" s="342"/>
      <c r="G20" s="343"/>
      <c r="H20" s="343"/>
      <c r="I20" s="343"/>
      <c r="J20" s="343"/>
      <c r="K20" s="526"/>
      <c r="L20" s="343"/>
      <c r="M20" s="343"/>
      <c r="N20" s="343"/>
      <c r="O20" s="317"/>
      <c r="P20" s="317"/>
      <c r="Q20" s="317"/>
      <c r="R20" s="317"/>
      <c r="T20" s="324"/>
      <c r="AV20" s="310"/>
      <c r="AW20" s="310"/>
      <c r="AX20" s="310"/>
      <c r="AY20" s="310"/>
      <c r="AZ20" s="310"/>
      <c r="BA20" s="310"/>
      <c r="BB20" s="310"/>
      <c r="BC20" s="310"/>
      <c r="BD20" s="310"/>
      <c r="BE20" s="310"/>
    </row>
    <row r="21" spans="1:58" ht="30" customHeight="1" thickBot="1" x14ac:dyDescent="0.25">
      <c r="A21" s="344"/>
      <c r="B21" s="1236" t="s">
        <v>303</v>
      </c>
      <c r="C21" s="1237"/>
      <c r="D21" s="1237"/>
      <c r="E21" s="1237"/>
      <c r="F21" s="1237"/>
      <c r="G21" s="1237"/>
      <c r="H21" s="1237"/>
      <c r="I21" s="1237"/>
      <c r="J21" s="1237"/>
      <c r="K21" s="1237"/>
      <c r="L21" s="1237"/>
      <c r="M21" s="1238"/>
      <c r="N21" s="310"/>
      <c r="O21" s="317"/>
      <c r="P21" s="317"/>
      <c r="Q21" s="317"/>
      <c r="R21" s="317"/>
      <c r="T21" s="324"/>
      <c r="AV21" s="310"/>
      <c r="BE21" s="310"/>
    </row>
    <row r="22" spans="1:58" ht="30" customHeight="1" thickBot="1" x14ac:dyDescent="0.25">
      <c r="A22" s="344"/>
      <c r="B22" s="310"/>
      <c r="C22" s="310"/>
      <c r="D22" s="310"/>
      <c r="E22" s="310"/>
      <c r="F22" s="310"/>
      <c r="G22" s="310"/>
      <c r="H22" s="310"/>
      <c r="I22" s="310"/>
      <c r="J22" s="310"/>
      <c r="K22" s="345"/>
      <c r="L22" s="310"/>
      <c r="M22" s="310"/>
      <c r="N22" s="310"/>
      <c r="O22" s="317"/>
      <c r="P22" s="317"/>
      <c r="Q22" s="317"/>
      <c r="R22" s="317"/>
      <c r="T22" s="324"/>
      <c r="AV22" s="310"/>
      <c r="BE22" s="310"/>
    </row>
    <row r="23" spans="1:58" ht="69.95" customHeight="1" thickBot="1" x14ac:dyDescent="0.25">
      <c r="A23" s="344"/>
      <c r="B23" s="346" t="s">
        <v>451</v>
      </c>
      <c r="C23" s="347" t="s">
        <v>44</v>
      </c>
      <c r="D23" s="347" t="s">
        <v>45</v>
      </c>
      <c r="E23" s="347" t="s">
        <v>208</v>
      </c>
      <c r="F23" s="347" t="s">
        <v>85</v>
      </c>
      <c r="G23" s="347" t="s">
        <v>209</v>
      </c>
      <c r="H23" s="347" t="s">
        <v>404</v>
      </c>
      <c r="I23" s="347" t="s">
        <v>405</v>
      </c>
      <c r="J23" s="347" t="s">
        <v>242</v>
      </c>
      <c r="K23" s="348" t="s">
        <v>241</v>
      </c>
      <c r="L23" s="347" t="s">
        <v>499</v>
      </c>
      <c r="M23" s="349" t="s">
        <v>191</v>
      </c>
      <c r="N23" s="310"/>
      <c r="O23" s="317"/>
      <c r="P23" s="317"/>
      <c r="Q23" s="317"/>
      <c r="R23" s="317"/>
      <c r="T23" s="324"/>
      <c r="AV23" s="310"/>
      <c r="BE23" s="310"/>
    </row>
    <row r="24" spans="1:58" ht="30" customHeight="1" thickBot="1" x14ac:dyDescent="0.25">
      <c r="A24" s="344"/>
      <c r="B24" s="462"/>
      <c r="C24" s="461"/>
      <c r="D24" s="350"/>
      <c r="E24" s="350"/>
      <c r="F24" s="350"/>
      <c r="G24" s="350"/>
      <c r="H24" s="350"/>
      <c r="I24" s="350"/>
      <c r="J24" s="350"/>
      <c r="K24" s="351"/>
      <c r="L24" s="350"/>
      <c r="M24" s="352"/>
      <c r="N24" s="325"/>
      <c r="O24" s="317"/>
      <c r="P24" s="317"/>
      <c r="Q24" s="317"/>
      <c r="R24" s="317"/>
      <c r="T24" s="324"/>
      <c r="U24" s="324"/>
      <c r="V24" s="324"/>
      <c r="W24" s="313"/>
      <c r="AD24" s="310"/>
      <c r="AV24" s="310"/>
      <c r="BE24" s="310"/>
      <c r="BF24" s="310"/>
    </row>
    <row r="25" spans="1:58" ht="30" customHeight="1" x14ac:dyDescent="0.2">
      <c r="A25" s="344"/>
      <c r="B25" s="553" t="s">
        <v>220</v>
      </c>
      <c r="C25" s="46" t="s">
        <v>80</v>
      </c>
      <c r="D25" s="46" t="s">
        <v>81</v>
      </c>
      <c r="E25" s="46" t="s">
        <v>525</v>
      </c>
      <c r="F25" s="554">
        <v>15.56</v>
      </c>
      <c r="G25" s="679">
        <v>4.9998800000000001</v>
      </c>
      <c r="H25" s="555">
        <v>4.0967700000000002</v>
      </c>
      <c r="I25" s="555">
        <f>H25</f>
        <v>4.0967700000000002</v>
      </c>
      <c r="J25" s="46">
        <v>4.7700000000000001E-5</v>
      </c>
      <c r="K25" s="554">
        <f>(5.49+5.5+5.51)/3</f>
        <v>5.5</v>
      </c>
      <c r="L25" s="556">
        <v>5.0000000000000001E-3</v>
      </c>
      <c r="M25" s="557">
        <v>9.9000000000000001E-6</v>
      </c>
      <c r="N25" s="310"/>
      <c r="O25" s="317"/>
      <c r="P25" s="317"/>
      <c r="Q25" s="317"/>
      <c r="R25" s="317"/>
      <c r="T25" s="324"/>
      <c r="U25" s="324"/>
      <c r="V25" s="324"/>
      <c r="W25" s="313"/>
      <c r="X25" s="313"/>
      <c r="Y25" s="334"/>
      <c r="Z25" s="334"/>
      <c r="AA25" s="334"/>
      <c r="AB25" s="334"/>
      <c r="AC25" s="334"/>
      <c r="AD25" s="310"/>
      <c r="AV25" s="310"/>
      <c r="BE25" s="310"/>
      <c r="BF25" s="310"/>
    </row>
    <row r="26" spans="1:58" ht="30" customHeight="1" thickBot="1" x14ac:dyDescent="0.25">
      <c r="A26" s="344"/>
      <c r="B26" s="558" t="s">
        <v>221</v>
      </c>
      <c r="C26" s="42" t="s">
        <v>80</v>
      </c>
      <c r="D26" s="559" t="s">
        <v>24</v>
      </c>
      <c r="E26" s="42" t="s">
        <v>526</v>
      </c>
      <c r="F26" s="58">
        <v>20</v>
      </c>
      <c r="G26" s="560">
        <v>5.0015799999999997</v>
      </c>
      <c r="H26" s="561">
        <v>8.1935000000000002</v>
      </c>
      <c r="I26" s="42">
        <f>H26</f>
        <v>8.1935000000000002</v>
      </c>
      <c r="J26" s="42">
        <v>4.7700000000000001E-5</v>
      </c>
      <c r="K26" s="560">
        <f>(7.29+7.26+7.25)/3</f>
        <v>7.2666666666666666</v>
      </c>
      <c r="L26" s="562">
        <v>5.0000000000000001E-3</v>
      </c>
      <c r="M26" s="563">
        <f>M25</f>
        <v>9.9000000000000001E-6</v>
      </c>
      <c r="N26" s="325"/>
      <c r="O26" s="317"/>
      <c r="P26" s="317"/>
      <c r="Q26" s="317"/>
      <c r="R26" s="317"/>
      <c r="T26" s="324"/>
      <c r="U26" s="324"/>
      <c r="X26" s="313"/>
      <c r="Y26" s="334"/>
      <c r="Z26" s="334"/>
      <c r="AA26" s="334"/>
      <c r="AB26" s="334"/>
      <c r="AC26" s="334"/>
      <c r="AD26" s="310"/>
      <c r="AV26" s="310"/>
      <c r="BE26" s="310"/>
      <c r="BF26" s="310"/>
    </row>
    <row r="27" spans="1:58" ht="30" customHeight="1" thickBot="1" x14ac:dyDescent="0.25">
      <c r="A27" s="344"/>
      <c r="B27" s="310"/>
      <c r="C27" s="356"/>
      <c r="D27" s="356"/>
      <c r="E27" s="356"/>
      <c r="F27" s="356"/>
      <c r="G27" s="356"/>
      <c r="H27" s="356"/>
      <c r="I27" s="356"/>
      <c r="J27" s="356"/>
      <c r="K27" s="357"/>
      <c r="L27" s="356"/>
      <c r="M27" s="356"/>
      <c r="N27" s="325"/>
      <c r="O27" s="317"/>
      <c r="P27" s="317"/>
      <c r="Q27" s="317"/>
      <c r="R27" s="317"/>
      <c r="T27" s="324"/>
      <c r="X27" s="313"/>
      <c r="AB27" s="334"/>
      <c r="AC27" s="334"/>
      <c r="AD27" s="310"/>
      <c r="AV27" s="310"/>
      <c r="BE27" s="310"/>
      <c r="BF27" s="310"/>
    </row>
    <row r="28" spans="1:58" ht="30" customHeight="1" thickBot="1" x14ac:dyDescent="0.25">
      <c r="A28" s="344"/>
      <c r="B28" s="1233" t="s">
        <v>406</v>
      </c>
      <c r="C28" s="1234"/>
      <c r="D28" s="1234"/>
      <c r="E28" s="1234"/>
      <c r="F28" s="1234"/>
      <c r="G28" s="1234"/>
      <c r="H28" s="1234"/>
      <c r="I28" s="1234"/>
      <c r="J28" s="1234"/>
      <c r="K28" s="1234"/>
      <c r="L28" s="1235"/>
      <c r="M28" s="356"/>
      <c r="N28" s="325"/>
      <c r="Q28" s="317"/>
      <c r="R28" s="317"/>
      <c r="T28" s="1216" t="s">
        <v>530</v>
      </c>
      <c r="U28" s="1216"/>
      <c r="V28" s="1217"/>
      <c r="X28" s="313"/>
      <c r="AB28" s="334"/>
      <c r="AC28" s="334"/>
      <c r="AD28" s="310"/>
      <c r="AV28" s="310"/>
    </row>
    <row r="29" spans="1:58" ht="60" customHeight="1" thickBot="1" x14ac:dyDescent="0.25">
      <c r="A29" s="344"/>
      <c r="B29" s="1251" t="s">
        <v>452</v>
      </c>
      <c r="C29" s="390" t="s">
        <v>451</v>
      </c>
      <c r="D29" s="358" t="s">
        <v>44</v>
      </c>
      <c r="E29" s="358" t="s">
        <v>270</v>
      </c>
      <c r="F29" s="359" t="s">
        <v>269</v>
      </c>
      <c r="G29" s="359" t="s">
        <v>186</v>
      </c>
      <c r="H29" s="359" t="s">
        <v>238</v>
      </c>
      <c r="I29" s="359" t="s">
        <v>184</v>
      </c>
      <c r="J29" s="359" t="s">
        <v>239</v>
      </c>
      <c r="K29" s="360" t="s">
        <v>185</v>
      </c>
      <c r="L29" s="361" t="s">
        <v>282</v>
      </c>
      <c r="M29" s="537"/>
      <c r="N29" s="325"/>
      <c r="Q29" s="317"/>
      <c r="R29" s="317"/>
      <c r="S29" s="512" t="s">
        <v>529</v>
      </c>
      <c r="T29" s="879" t="s">
        <v>555</v>
      </c>
      <c r="U29" s="879" t="s">
        <v>529</v>
      </c>
      <c r="V29" s="1063" t="s">
        <v>556</v>
      </c>
      <c r="X29" s="313"/>
      <c r="AB29" s="334"/>
      <c r="AC29" s="334"/>
      <c r="AD29" s="310"/>
      <c r="AV29" s="310"/>
    </row>
    <row r="30" spans="1:58" ht="30" customHeight="1" thickBot="1" x14ac:dyDescent="0.25">
      <c r="A30" s="344"/>
      <c r="B30" s="1252"/>
      <c r="C30" s="463"/>
      <c r="D30" s="340"/>
      <c r="E30" s="364"/>
      <c r="F30" s="364"/>
      <c r="G30" s="364"/>
      <c r="H30" s="364"/>
      <c r="I30" s="364"/>
      <c r="J30" s="364"/>
      <c r="K30" s="351"/>
      <c r="L30" s="352"/>
      <c r="M30" s="356"/>
      <c r="N30" s="325"/>
      <c r="Q30" s="317"/>
      <c r="R30" s="317"/>
      <c r="S30" s="1219" t="s">
        <v>414</v>
      </c>
      <c r="T30" s="1220">
        <v>2.7</v>
      </c>
      <c r="U30" s="1064" t="str">
        <f>L31</f>
        <v>INM 3688</v>
      </c>
      <c r="V30" s="1218">
        <f>I31</f>
        <v>3</v>
      </c>
      <c r="X30" s="313"/>
      <c r="AV30" s="310"/>
    </row>
    <row r="31" spans="1:58" ht="30" customHeight="1" x14ac:dyDescent="0.2">
      <c r="A31" s="344"/>
      <c r="B31" s="1253"/>
      <c r="C31" s="543" t="str">
        <f>B25</f>
        <v>V-005</v>
      </c>
      <c r="D31" s="46" t="str">
        <f>C25</f>
        <v>Serhapin test Measure</v>
      </c>
      <c r="E31" s="46" t="str">
        <f>E25</f>
        <v xml:space="preserve">16-5935702    C-I V-005         </v>
      </c>
      <c r="F31" s="876">
        <v>18926.59</v>
      </c>
      <c r="G31" s="555">
        <f>H25</f>
        <v>4.0967700000000002</v>
      </c>
      <c r="H31" s="595">
        <f>'RT03-F11° '!M30-DATOS°!F31</f>
        <v>0.46500000000014552</v>
      </c>
      <c r="I31" s="568">
        <v>3</v>
      </c>
      <c r="J31" s="595">
        <v>2.04</v>
      </c>
      <c r="K31" s="569">
        <v>43406</v>
      </c>
      <c r="L31" s="605" t="s">
        <v>390</v>
      </c>
      <c r="M31" s="356"/>
      <c r="N31" s="325"/>
      <c r="Q31" s="317"/>
      <c r="R31" s="317"/>
      <c r="S31" s="1219"/>
      <c r="T31" s="1220"/>
      <c r="U31" s="1065">
        <f>K31</f>
        <v>43406</v>
      </c>
      <c r="V31" s="1218"/>
      <c r="AV31" s="310"/>
      <c r="BF31" s="362"/>
    </row>
    <row r="32" spans="1:58" ht="30" customHeight="1" thickBot="1" x14ac:dyDescent="0.25">
      <c r="A32" s="344"/>
      <c r="B32" s="1253"/>
      <c r="C32" s="544" t="str">
        <f>B26</f>
        <v>V-001</v>
      </c>
      <c r="D32" s="42" t="str">
        <f>C26</f>
        <v>Serhapin test Measure</v>
      </c>
      <c r="E32" s="42" t="str">
        <f>E26</f>
        <v>14-92812 C-I V-001</v>
      </c>
      <c r="F32" s="877">
        <v>18933.04</v>
      </c>
      <c r="G32" s="575">
        <f>H26</f>
        <v>8.1935000000000002</v>
      </c>
      <c r="H32" s="878">
        <f>'RT03-F11° '!M31-DATOS°!F32</f>
        <v>-5.9850000000005821</v>
      </c>
      <c r="I32" s="599">
        <v>5</v>
      </c>
      <c r="J32" s="575">
        <v>2.0299999999999998</v>
      </c>
      <c r="K32" s="600">
        <v>43410</v>
      </c>
      <c r="L32" s="607" t="s">
        <v>401</v>
      </c>
      <c r="N32" s="325"/>
      <c r="Q32" s="317"/>
      <c r="R32" s="317"/>
      <c r="S32" s="588"/>
      <c r="T32" s="588"/>
      <c r="U32" s="588"/>
      <c r="V32" s="588"/>
      <c r="AV32" s="310"/>
    </row>
    <row r="33" spans="1:58" ht="30" customHeight="1" x14ac:dyDescent="0.2">
      <c r="A33" s="344"/>
      <c r="B33" s="363"/>
      <c r="C33" s="366"/>
      <c r="D33" s="310"/>
      <c r="E33" s="366"/>
      <c r="F33" s="366"/>
      <c r="G33" s="366"/>
      <c r="H33" s="530"/>
      <c r="I33" s="366"/>
      <c r="J33" s="366"/>
      <c r="K33" s="365"/>
      <c r="L33" s="324"/>
      <c r="M33" s="356"/>
      <c r="N33" s="325"/>
      <c r="Q33" s="317"/>
      <c r="R33" s="317"/>
      <c r="S33" s="588"/>
      <c r="T33" s="588"/>
      <c r="U33" s="588"/>
      <c r="V33" s="588"/>
      <c r="AV33" s="310"/>
      <c r="BF33" s="326"/>
    </row>
    <row r="34" spans="1:58" ht="30" customHeight="1" thickBot="1" x14ac:dyDescent="0.25">
      <c r="A34" s="344"/>
      <c r="B34" s="310"/>
      <c r="C34" s="324"/>
      <c r="D34" s="324"/>
      <c r="E34" s="324"/>
      <c r="F34" s="324"/>
      <c r="G34" s="324"/>
      <c r="H34" s="324"/>
      <c r="I34" s="324"/>
      <c r="J34" s="324"/>
      <c r="K34" s="365"/>
      <c r="L34" s="324"/>
      <c r="M34" s="356"/>
      <c r="N34" s="325"/>
      <c r="Q34" s="317"/>
      <c r="R34" s="317"/>
      <c r="S34" s="588"/>
      <c r="T34" s="588"/>
      <c r="U34" s="588"/>
      <c r="V34" s="588"/>
      <c r="AV34" s="310"/>
      <c r="BF34" s="326"/>
    </row>
    <row r="35" spans="1:58" ht="30" customHeight="1" thickBot="1" x14ac:dyDescent="0.25">
      <c r="A35" s="344"/>
      <c r="B35" s="1233" t="s">
        <v>204</v>
      </c>
      <c r="C35" s="1234"/>
      <c r="D35" s="1234"/>
      <c r="E35" s="1234"/>
      <c r="F35" s="1234"/>
      <c r="G35" s="1234"/>
      <c r="H35" s="1234"/>
      <c r="I35" s="1234"/>
      <c r="J35" s="1234"/>
      <c r="K35" s="1234"/>
      <c r="L35" s="1235"/>
      <c r="M35" s="356"/>
      <c r="N35" s="325"/>
      <c r="Q35" s="317"/>
      <c r="R35" s="317"/>
      <c r="T35" s="1204" t="s">
        <v>534</v>
      </c>
      <c r="U35" s="1205"/>
      <c r="V35" s="1206"/>
      <c r="AV35" s="310"/>
      <c r="BF35" s="326"/>
    </row>
    <row r="36" spans="1:58" ht="60" customHeight="1" thickBot="1" x14ac:dyDescent="0.25">
      <c r="A36" s="344"/>
      <c r="B36" s="310"/>
      <c r="C36" s="366"/>
      <c r="D36" s="358" t="s">
        <v>44</v>
      </c>
      <c r="E36" s="358" t="s">
        <v>270</v>
      </c>
      <c r="F36" s="359" t="s">
        <v>269</v>
      </c>
      <c r="G36" s="359" t="s">
        <v>186</v>
      </c>
      <c r="H36" s="359" t="s">
        <v>238</v>
      </c>
      <c r="I36" s="359" t="s">
        <v>184</v>
      </c>
      <c r="J36" s="359" t="s">
        <v>239</v>
      </c>
      <c r="K36" s="367" t="s">
        <v>185</v>
      </c>
      <c r="L36" s="361" t="s">
        <v>282</v>
      </c>
      <c r="M36" s="492" t="s">
        <v>384</v>
      </c>
      <c r="N36" s="492" t="s">
        <v>385</v>
      </c>
      <c r="T36" s="631" t="s">
        <v>529</v>
      </c>
      <c r="U36" s="631" t="s">
        <v>532</v>
      </c>
      <c r="V36" s="632" t="s">
        <v>531</v>
      </c>
      <c r="AV36" s="310"/>
      <c r="BF36" s="326"/>
    </row>
    <row r="37" spans="1:58" ht="45" customHeight="1" thickBot="1" x14ac:dyDescent="0.25">
      <c r="A37" s="344"/>
      <c r="B37" s="459"/>
      <c r="C37" s="310"/>
      <c r="D37" s="368"/>
      <c r="E37" s="364"/>
      <c r="F37" s="364"/>
      <c r="G37" s="364"/>
      <c r="H37" s="364"/>
      <c r="I37" s="364"/>
      <c r="J37" s="364"/>
      <c r="K37" s="383"/>
      <c r="L37" s="350"/>
      <c r="M37" s="460"/>
      <c r="N37" s="353"/>
      <c r="T37" s="1210" t="s">
        <v>537</v>
      </c>
      <c r="U37" s="902">
        <v>0</v>
      </c>
      <c r="V37" s="612">
        <v>1.2999999999999999E-2</v>
      </c>
      <c r="AV37" s="310"/>
      <c r="BF37" s="326"/>
    </row>
    <row r="38" spans="1:58" ht="30" customHeight="1" thickBot="1" x14ac:dyDescent="0.25">
      <c r="A38" s="344"/>
      <c r="B38" s="1254" t="s">
        <v>453</v>
      </c>
      <c r="C38" s="564" t="s">
        <v>304</v>
      </c>
      <c r="D38" s="1257" t="s">
        <v>281</v>
      </c>
      <c r="E38" s="566" t="s">
        <v>222</v>
      </c>
      <c r="F38" s="567">
        <v>14.064</v>
      </c>
      <c r="G38" s="555">
        <v>1E-3</v>
      </c>
      <c r="H38" s="555">
        <v>-5.0999999999999997E-2</v>
      </c>
      <c r="I38" s="555">
        <v>4.3999999999999997E-2</v>
      </c>
      <c r="J38" s="568">
        <v>2</v>
      </c>
      <c r="K38" s="669">
        <v>43574</v>
      </c>
      <c r="L38" s="1248" t="s">
        <v>416</v>
      </c>
      <c r="M38" s="577">
        <f>SLOPE($H$38:$H$42,$F$38:$F$42)</f>
        <v>-1.8688926308402325E-3</v>
      </c>
      <c r="N38" s="583">
        <f>INTERCEPT($H$38:$H$42,$F$38:$F$42)</f>
        <v>-2.4958668866796839E-2</v>
      </c>
      <c r="T38" s="1211"/>
      <c r="U38" s="899">
        <v>25</v>
      </c>
      <c r="V38" s="584">
        <v>4.3999999999999997E-2</v>
      </c>
      <c r="AV38" s="310"/>
      <c r="BF38" s="326"/>
    </row>
    <row r="39" spans="1:58" ht="30" customHeight="1" thickBot="1" x14ac:dyDescent="0.25">
      <c r="A39" s="344"/>
      <c r="B39" s="1255"/>
      <c r="C39" s="564" t="s">
        <v>305</v>
      </c>
      <c r="D39" s="1258"/>
      <c r="E39" s="570" t="s">
        <v>222</v>
      </c>
      <c r="F39" s="571">
        <v>16.068000000000001</v>
      </c>
      <c r="G39" s="538">
        <v>1E-3</v>
      </c>
      <c r="H39" s="538">
        <v>-5.5E-2</v>
      </c>
      <c r="I39" s="538">
        <v>4.3999999999999997E-2</v>
      </c>
      <c r="J39" s="572">
        <v>2</v>
      </c>
      <c r="K39" s="670">
        <v>43574</v>
      </c>
      <c r="L39" s="1249"/>
      <c r="M39" s="579">
        <f>SLOPE($H$38:$H$42,$F$38:$F$42)</f>
        <v>-1.8688926308402325E-3</v>
      </c>
      <c r="N39" s="584">
        <f>INTERCEPT($H$38:$H$42,$F$38:$F$42)</f>
        <v>-2.4958668866796839E-2</v>
      </c>
      <c r="T39" s="1211"/>
      <c r="U39" s="899">
        <v>50</v>
      </c>
      <c r="V39" s="614">
        <v>4.3999999999999997E-2</v>
      </c>
      <c r="AV39" s="310"/>
      <c r="BF39" s="326"/>
    </row>
    <row r="40" spans="1:58" ht="30" customHeight="1" thickBot="1" x14ac:dyDescent="0.25">
      <c r="A40" s="633" t="s">
        <v>396</v>
      </c>
      <c r="B40" s="1255"/>
      <c r="C40" s="565" t="s">
        <v>306</v>
      </c>
      <c r="D40" s="1258"/>
      <c r="E40" s="570" t="s">
        <v>222</v>
      </c>
      <c r="F40" s="571">
        <v>17.065000000000001</v>
      </c>
      <c r="G40" s="538">
        <v>1E-3</v>
      </c>
      <c r="H40" s="538">
        <v>-5.7000000000000002E-2</v>
      </c>
      <c r="I40" s="538">
        <v>4.3999999999999997E-2</v>
      </c>
      <c r="J40" s="572">
        <v>2</v>
      </c>
      <c r="K40" s="670">
        <v>43574</v>
      </c>
      <c r="L40" s="1249"/>
      <c r="M40" s="579">
        <f>SLOPE($H$38:$H$42,$F$38:$F$42)</f>
        <v>-1.8688926308402325E-3</v>
      </c>
      <c r="N40" s="584">
        <f>INTERCEPT($H$38:$H$42,$F$38:$F$42)</f>
        <v>-2.4958668866796839E-2</v>
      </c>
      <c r="T40" s="1211"/>
      <c r="U40" s="900"/>
      <c r="V40" s="614"/>
      <c r="AV40" s="310"/>
    </row>
    <row r="41" spans="1:58" ht="30" customHeight="1" thickBot="1" x14ac:dyDescent="0.25">
      <c r="A41" s="344"/>
      <c r="B41" s="1255"/>
      <c r="C41" s="565" t="s">
        <v>391</v>
      </c>
      <c r="D41" s="1258"/>
      <c r="E41" s="570" t="s">
        <v>222</v>
      </c>
      <c r="F41" s="538">
        <v>18.064</v>
      </c>
      <c r="G41" s="538">
        <v>1E-3</v>
      </c>
      <c r="H41" s="538">
        <v>-5.8999999999999997E-2</v>
      </c>
      <c r="I41" s="538">
        <v>4.3999999999999997E-2</v>
      </c>
      <c r="J41" s="572">
        <v>2</v>
      </c>
      <c r="K41" s="670">
        <v>43574</v>
      </c>
      <c r="L41" s="1249"/>
      <c r="M41" s="579">
        <f>SLOPE($H$38:$H$42,$F$38:$F$42)</f>
        <v>-1.8688926308402325E-3</v>
      </c>
      <c r="N41" s="584">
        <f>INTERCEPT($H$38:$H$42,$F$38:$F$42)</f>
        <v>-2.4958668866796839E-2</v>
      </c>
      <c r="T41" s="1212"/>
      <c r="U41" s="901"/>
      <c r="V41" s="616"/>
      <c r="AB41" s="334"/>
      <c r="AC41" s="334"/>
      <c r="AD41" s="310"/>
      <c r="AV41" s="310"/>
    </row>
    <row r="42" spans="1:58" ht="30" customHeight="1" thickBot="1" x14ac:dyDescent="0.25">
      <c r="A42" s="344"/>
      <c r="B42" s="1256"/>
      <c r="C42" s="565" t="s">
        <v>392</v>
      </c>
      <c r="D42" s="1259"/>
      <c r="E42" s="574" t="s">
        <v>222</v>
      </c>
      <c r="F42" s="575">
        <v>22.067</v>
      </c>
      <c r="G42" s="575">
        <v>1E-3</v>
      </c>
      <c r="H42" s="575">
        <v>-6.6000000000000003E-2</v>
      </c>
      <c r="I42" s="575">
        <v>4.3999999999999997E-2</v>
      </c>
      <c r="J42" s="599">
        <v>2</v>
      </c>
      <c r="K42" s="671">
        <v>43574</v>
      </c>
      <c r="L42" s="1250"/>
      <c r="M42" s="581">
        <f>SLOPE($H$38:$H$42,$F$38:$F$42)</f>
        <v>-1.8688926308402325E-3</v>
      </c>
      <c r="N42" s="585">
        <f>INTERCEPT($H$38:$H$42,$F$38:$F$42)</f>
        <v>-2.4958668866796839E-2</v>
      </c>
      <c r="T42" s="1213" t="s">
        <v>536</v>
      </c>
      <c r="U42" s="1214"/>
      <c r="V42" s="1215"/>
      <c r="AB42" s="334"/>
      <c r="AC42" s="334"/>
      <c r="AD42" s="310"/>
      <c r="AV42" s="310"/>
    </row>
    <row r="43" spans="1:58" ht="30" customHeight="1" thickBot="1" x14ac:dyDescent="0.25">
      <c r="A43" s="344"/>
      <c r="B43" s="344"/>
      <c r="C43" s="368"/>
      <c r="D43" s="459"/>
      <c r="E43" s="464"/>
      <c r="F43" s="465"/>
      <c r="G43" s="366"/>
      <c r="H43" s="366"/>
      <c r="I43" s="366"/>
      <c r="J43" s="366"/>
      <c r="K43" s="388"/>
      <c r="L43" s="712"/>
      <c r="M43" s="712"/>
      <c r="N43" s="466"/>
      <c r="T43" s="631" t="s">
        <v>533</v>
      </c>
      <c r="U43" s="631" t="s">
        <v>532</v>
      </c>
      <c r="V43" s="632" t="s">
        <v>531</v>
      </c>
      <c r="W43" s="313"/>
      <c r="AB43" s="334"/>
      <c r="AC43" s="334"/>
      <c r="AD43" s="310"/>
      <c r="AV43" s="310"/>
    </row>
    <row r="44" spans="1:58" ht="30" customHeight="1" thickBot="1" x14ac:dyDescent="0.25">
      <c r="A44" s="344"/>
      <c r="B44" s="1254" t="s">
        <v>454</v>
      </c>
      <c r="C44" s="564" t="s">
        <v>307</v>
      </c>
      <c r="D44" s="1257" t="s">
        <v>281</v>
      </c>
      <c r="E44" s="566" t="s">
        <v>223</v>
      </c>
      <c r="F44" s="567">
        <v>14.028</v>
      </c>
      <c r="G44" s="555">
        <v>1E-3</v>
      </c>
      <c r="H44" s="555">
        <v>-1.4999999999999999E-2</v>
      </c>
      <c r="I44" s="555">
        <v>4.3999999999999997E-2</v>
      </c>
      <c r="J44" s="568">
        <v>2</v>
      </c>
      <c r="K44" s="669">
        <v>43564</v>
      </c>
      <c r="L44" s="1414" t="s">
        <v>417</v>
      </c>
      <c r="M44" s="577">
        <f>SLOPE($H$44:$H$48,$F$44:$F$48)</f>
        <v>-1.494487043762891E-3</v>
      </c>
      <c r="N44" s="578">
        <f>INTERCEPT($H$44:$H$48,$F$44:$F$48)</f>
        <v>5.8459201986996584E-3</v>
      </c>
      <c r="O44" s="576"/>
      <c r="T44" s="1210" t="s">
        <v>535</v>
      </c>
      <c r="U44" s="902">
        <v>0</v>
      </c>
      <c r="V44" s="583">
        <v>1.2999999999999999E-2</v>
      </c>
      <c r="W44" s="313"/>
      <c r="AB44" s="334"/>
      <c r="AC44" s="334"/>
      <c r="AD44" s="310"/>
      <c r="AV44" s="310"/>
    </row>
    <row r="45" spans="1:58" ht="30" customHeight="1" thickBot="1" x14ac:dyDescent="0.25">
      <c r="A45" s="344"/>
      <c r="B45" s="1255"/>
      <c r="C45" s="564" t="s">
        <v>308</v>
      </c>
      <c r="D45" s="1258"/>
      <c r="E45" s="570" t="s">
        <v>223</v>
      </c>
      <c r="F45" s="571">
        <v>16.03</v>
      </c>
      <c r="G45" s="538">
        <v>1E-3</v>
      </c>
      <c r="H45" s="538">
        <v>-1.7999999999999999E-2</v>
      </c>
      <c r="I45" s="538">
        <v>4.3999999999999997E-2</v>
      </c>
      <c r="J45" s="572">
        <v>2</v>
      </c>
      <c r="K45" s="670">
        <v>43564</v>
      </c>
      <c r="L45" s="1415"/>
      <c r="M45" s="579">
        <f>SLOPE($H$44:$H$48,$F$44:$F$48)</f>
        <v>-1.494487043762891E-3</v>
      </c>
      <c r="N45" s="580">
        <f>INTERCEPT($H$44:$H$48,$F$44:$F$48)</f>
        <v>5.8459201986996584E-3</v>
      </c>
      <c r="O45" s="576"/>
      <c r="T45" s="1211"/>
      <c r="U45" s="899">
        <v>25</v>
      </c>
      <c r="V45" s="584">
        <v>4.3999999999999997E-2</v>
      </c>
      <c r="W45" s="313"/>
      <c r="AB45" s="334"/>
      <c r="AC45" s="334"/>
      <c r="AD45" s="310"/>
      <c r="AV45" s="310"/>
    </row>
    <row r="46" spans="1:58" ht="30" customHeight="1" thickBot="1" x14ac:dyDescent="0.25">
      <c r="A46" s="633" t="s">
        <v>395</v>
      </c>
      <c r="B46" s="1255"/>
      <c r="C46" s="565" t="s">
        <v>309</v>
      </c>
      <c r="D46" s="1258"/>
      <c r="E46" s="570" t="s">
        <v>223</v>
      </c>
      <c r="F46" s="571">
        <v>17.027999999999999</v>
      </c>
      <c r="G46" s="538">
        <v>1E-3</v>
      </c>
      <c r="H46" s="571">
        <v>-0.02</v>
      </c>
      <c r="I46" s="538">
        <v>4.3999999999999997E-2</v>
      </c>
      <c r="J46" s="572">
        <v>2</v>
      </c>
      <c r="K46" s="670">
        <v>43564</v>
      </c>
      <c r="L46" s="1415"/>
      <c r="M46" s="579">
        <f>SLOPE($H$44:$H$48,$F$44:$F$48)</f>
        <v>-1.494487043762891E-3</v>
      </c>
      <c r="N46" s="580">
        <f>INTERCEPT($H$44:$H$48,$F$44:$F$48)</f>
        <v>5.8459201986996584E-3</v>
      </c>
      <c r="O46" s="576"/>
      <c r="T46" s="1211"/>
      <c r="U46" s="899">
        <v>50</v>
      </c>
      <c r="V46" s="584">
        <v>4.3999999999999997E-2</v>
      </c>
      <c r="W46" s="313"/>
      <c r="AB46" s="334"/>
      <c r="AC46" s="334"/>
      <c r="AD46" s="310"/>
      <c r="AV46" s="310"/>
    </row>
    <row r="47" spans="1:58" ht="30" customHeight="1" thickBot="1" x14ac:dyDescent="0.25">
      <c r="A47" s="344"/>
      <c r="B47" s="1255"/>
      <c r="C47" s="565" t="s">
        <v>393</v>
      </c>
      <c r="D47" s="1258"/>
      <c r="E47" s="570" t="s">
        <v>224</v>
      </c>
      <c r="F47" s="538">
        <v>18.026</v>
      </c>
      <c r="G47" s="538">
        <v>1E-3</v>
      </c>
      <c r="H47" s="538">
        <v>-2.1000000000000001E-2</v>
      </c>
      <c r="I47" s="538">
        <v>4.3999999999999997E-2</v>
      </c>
      <c r="J47" s="572">
        <v>2</v>
      </c>
      <c r="K47" s="670">
        <v>43564</v>
      </c>
      <c r="L47" s="1415"/>
      <c r="M47" s="579">
        <f>SLOPE($H$44:$H$48,$F$44:$F$48)</f>
        <v>-1.494487043762891E-3</v>
      </c>
      <c r="N47" s="580">
        <f>INTERCEPT($H$44:$H$48,$F$44:$F$48)</f>
        <v>5.8459201986996584E-3</v>
      </c>
      <c r="O47" s="576"/>
      <c r="Q47" s="333"/>
      <c r="R47" s="334"/>
      <c r="T47" s="1211"/>
      <c r="U47" s="900"/>
      <c r="V47" s="614"/>
      <c r="W47" s="313"/>
      <c r="AB47" s="334"/>
      <c r="AC47" s="334"/>
      <c r="AD47" s="310"/>
      <c r="AV47" s="310"/>
    </row>
    <row r="48" spans="1:58" ht="30" customHeight="1" thickBot="1" x14ac:dyDescent="0.25">
      <c r="A48" s="344"/>
      <c r="B48" s="1256"/>
      <c r="C48" s="565" t="s">
        <v>394</v>
      </c>
      <c r="D48" s="1259"/>
      <c r="E48" s="574" t="s">
        <v>223</v>
      </c>
      <c r="F48" s="575">
        <v>22.027999999999999</v>
      </c>
      <c r="G48" s="575">
        <v>1E-3</v>
      </c>
      <c r="H48" s="575">
        <v>-2.7E-2</v>
      </c>
      <c r="I48" s="575">
        <v>4.3999999999999997E-2</v>
      </c>
      <c r="J48" s="599">
        <v>2</v>
      </c>
      <c r="K48" s="671">
        <v>43564</v>
      </c>
      <c r="L48" s="1416"/>
      <c r="M48" s="581">
        <f>SLOPE($H$44:$H$48,$F$44:$F$48)</f>
        <v>-1.494487043762891E-3</v>
      </c>
      <c r="N48" s="582">
        <f>INTERCEPT($H$44:$H$48,$F$44:$F$48)</f>
        <v>5.8459201986996584E-3</v>
      </c>
      <c r="O48" s="576"/>
      <c r="Q48" s="333"/>
      <c r="R48" s="334"/>
      <c r="T48" s="1211"/>
      <c r="U48" s="903"/>
      <c r="V48" s="694"/>
      <c r="W48" s="334"/>
      <c r="X48" s="313"/>
      <c r="Y48" s="313"/>
      <c r="Z48" s="313"/>
      <c r="AB48" s="334"/>
      <c r="AC48" s="334"/>
      <c r="AD48" s="310"/>
      <c r="AV48" s="310"/>
    </row>
    <row r="49" spans="1:58" ht="30" customHeight="1" thickBot="1" x14ac:dyDescent="0.25">
      <c r="A49" s="344"/>
      <c r="Q49" s="333"/>
      <c r="R49" s="334"/>
      <c r="T49" s="1212"/>
      <c r="U49" s="901"/>
      <c r="V49" s="616"/>
      <c r="W49" s="334"/>
      <c r="X49" s="313"/>
      <c r="Y49" s="313"/>
      <c r="Z49" s="313"/>
      <c r="AB49" s="334"/>
      <c r="AC49" s="334"/>
      <c r="AD49" s="310"/>
      <c r="AV49" s="310"/>
    </row>
    <row r="50" spans="1:58" ht="30" customHeight="1" thickBot="1" x14ac:dyDescent="0.25">
      <c r="A50" s="344"/>
      <c r="B50" s="310"/>
      <c r="C50" s="324"/>
      <c r="D50" s="324"/>
      <c r="E50" s="324"/>
      <c r="F50" s="324"/>
      <c r="G50" s="324"/>
      <c r="H50" s="324"/>
      <c r="I50" s="324"/>
      <c r="J50" s="324"/>
      <c r="K50" s="365"/>
      <c r="L50" s="324"/>
      <c r="M50" s="356"/>
      <c r="Q50" s="333"/>
      <c r="R50" s="334"/>
      <c r="T50" s="313"/>
      <c r="U50" s="313"/>
      <c r="V50" s="313"/>
      <c r="W50" s="334"/>
      <c r="X50" s="313"/>
      <c r="Y50" s="313"/>
      <c r="Z50" s="313"/>
      <c r="AA50" s="334"/>
      <c r="AB50" s="334"/>
      <c r="AC50" s="334"/>
      <c r="AD50" s="310"/>
      <c r="AV50" s="310"/>
    </row>
    <row r="51" spans="1:58" ht="30" customHeight="1" x14ac:dyDescent="0.2">
      <c r="A51" s="344"/>
      <c r="B51" s="310"/>
      <c r="C51" s="1399" t="s">
        <v>347</v>
      </c>
      <c r="D51" s="1400"/>
      <c r="E51" s="1400"/>
      <c r="F51" s="1400"/>
      <c r="G51" s="1400"/>
      <c r="H51" s="1400"/>
      <c r="I51" s="1400"/>
      <c r="J51" s="1400"/>
      <c r="K51" s="1400"/>
      <c r="L51" s="1400"/>
      <c r="M51" s="1400"/>
      <c r="N51" s="1400"/>
      <c r="O51" s="1400"/>
      <c r="P51" s="1400"/>
      <c r="Q51" s="1400"/>
      <c r="R51" s="1400"/>
      <c r="S51" s="1400"/>
      <c r="T51" s="1401"/>
      <c r="U51" s="334"/>
      <c r="V51" s="334"/>
      <c r="W51" s="334"/>
      <c r="X51" s="334"/>
      <c r="Y51" s="334"/>
      <c r="Z51" s="334"/>
      <c r="AA51" s="334"/>
      <c r="AB51" s="334"/>
      <c r="AC51" s="334"/>
      <c r="AD51" s="310"/>
      <c r="AV51" s="310"/>
    </row>
    <row r="52" spans="1:58" ht="30" customHeight="1" thickBot="1" x14ac:dyDescent="0.25">
      <c r="A52" s="344"/>
      <c r="B52" s="310"/>
      <c r="C52" s="1402"/>
      <c r="D52" s="1403"/>
      <c r="E52" s="1403"/>
      <c r="F52" s="1403"/>
      <c r="G52" s="1403"/>
      <c r="H52" s="1403"/>
      <c r="I52" s="1403"/>
      <c r="J52" s="1403"/>
      <c r="K52" s="1403"/>
      <c r="L52" s="1403"/>
      <c r="M52" s="1403"/>
      <c r="N52" s="1403"/>
      <c r="O52" s="1403"/>
      <c r="P52" s="1403"/>
      <c r="Q52" s="1403"/>
      <c r="R52" s="1403"/>
      <c r="S52" s="1403"/>
      <c r="T52" s="1404"/>
      <c r="U52" s="334"/>
      <c r="V52" s="334"/>
      <c r="W52" s="334"/>
      <c r="X52" s="334"/>
      <c r="Y52" s="334"/>
      <c r="Z52" s="334"/>
      <c r="AA52" s="334"/>
      <c r="AB52" s="334"/>
      <c r="AC52" s="334"/>
      <c r="AD52" s="310"/>
      <c r="AV52" s="310"/>
    </row>
    <row r="53" spans="1:58" ht="30" customHeight="1" thickBot="1" x14ac:dyDescent="0.25">
      <c r="A53" s="344"/>
      <c r="B53" s="310"/>
      <c r="C53" s="1236" t="s">
        <v>383</v>
      </c>
      <c r="D53" s="1237"/>
      <c r="E53" s="1237"/>
      <c r="F53" s="1237"/>
      <c r="G53" s="1237"/>
      <c r="H53" s="1237"/>
      <c r="I53" s="1237"/>
      <c r="J53" s="1237"/>
      <c r="K53" s="1237"/>
      <c r="L53" s="1237"/>
      <c r="M53" s="1237"/>
      <c r="N53" s="1237"/>
      <c r="O53" s="1237"/>
      <c r="P53" s="1237"/>
      <c r="Q53" s="1237"/>
      <c r="R53" s="1237"/>
      <c r="S53" s="1237"/>
      <c r="T53" s="1238"/>
      <c r="U53" s="334"/>
      <c r="V53" s="334"/>
      <c r="W53" s="334"/>
      <c r="X53" s="334"/>
      <c r="Y53" s="334"/>
      <c r="Z53" s="334"/>
      <c r="AA53" s="334"/>
      <c r="AB53" s="334"/>
      <c r="AC53" s="334"/>
      <c r="AD53" s="310"/>
      <c r="AV53" s="310"/>
      <c r="AW53" s="310"/>
      <c r="AX53" s="310"/>
      <c r="AY53" s="310"/>
      <c r="AZ53" s="310"/>
      <c r="BA53" s="310"/>
      <c r="BB53" s="310"/>
      <c r="BC53" s="310"/>
      <c r="BD53" s="310"/>
      <c r="BE53" s="310"/>
      <c r="BF53" s="310"/>
    </row>
    <row r="54" spans="1:58" ht="30" customHeight="1" thickBot="1" x14ac:dyDescent="0.25">
      <c r="A54" s="344"/>
      <c r="B54" s="310"/>
      <c r="C54" s="366"/>
      <c r="D54" s="372" t="s">
        <v>44</v>
      </c>
      <c r="E54" s="373" t="s">
        <v>270</v>
      </c>
      <c r="F54" s="372" t="s">
        <v>269</v>
      </c>
      <c r="G54" s="372" t="s">
        <v>186</v>
      </c>
      <c r="H54" s="372" t="s">
        <v>238</v>
      </c>
      <c r="I54" s="372" t="s">
        <v>184</v>
      </c>
      <c r="J54" s="372" t="s">
        <v>239</v>
      </c>
      <c r="K54" s="374" t="s">
        <v>185</v>
      </c>
      <c r="L54" s="399" t="s">
        <v>282</v>
      </c>
      <c r="M54" s="356"/>
      <c r="N54" s="325"/>
      <c r="O54" s="1385" t="s">
        <v>350</v>
      </c>
      <c r="P54" s="1387" t="s">
        <v>184</v>
      </c>
      <c r="Q54" s="1388"/>
      <c r="R54" s="1389"/>
      <c r="S54" s="1393" t="s">
        <v>185</v>
      </c>
      <c r="T54" s="1395" t="s">
        <v>282</v>
      </c>
      <c r="U54" s="334"/>
      <c r="V54" s="334"/>
      <c r="W54" s="334"/>
      <c r="X54" s="334"/>
      <c r="Y54" s="334"/>
      <c r="Z54" s="334"/>
      <c r="AA54" s="334"/>
      <c r="AB54" s="334"/>
      <c r="AC54" s="334"/>
      <c r="AD54" s="310"/>
      <c r="AV54" s="310"/>
      <c r="AW54" s="310"/>
      <c r="AX54" s="310"/>
      <c r="AY54" s="310"/>
      <c r="AZ54" s="310"/>
      <c r="BA54" s="310"/>
      <c r="BB54" s="310"/>
      <c r="BC54" s="310"/>
      <c r="BD54" s="310"/>
      <c r="BE54" s="310"/>
      <c r="BF54" s="310"/>
    </row>
    <row r="55" spans="1:58" ht="30" customHeight="1" thickBot="1" x14ac:dyDescent="0.25">
      <c r="A55" s="414"/>
      <c r="B55" s="415"/>
      <c r="C55" s="415"/>
      <c r="D55" s="415"/>
      <c r="E55" s="416"/>
      <c r="F55" s="416"/>
      <c r="G55" s="416"/>
      <c r="H55" s="416"/>
      <c r="I55" s="416"/>
      <c r="J55" s="416"/>
      <c r="K55" s="417"/>
      <c r="L55" s="418"/>
      <c r="M55" s="356"/>
      <c r="N55" s="325"/>
      <c r="O55" s="1386"/>
      <c r="P55" s="1390"/>
      <c r="Q55" s="1391"/>
      <c r="R55" s="1392"/>
      <c r="S55" s="1394"/>
      <c r="T55" s="1396"/>
      <c r="U55" s="334"/>
      <c r="V55" s="334"/>
      <c r="W55" s="334"/>
      <c r="X55" s="334"/>
      <c r="Y55" s="334"/>
      <c r="Z55" s="334"/>
      <c r="AA55" s="334"/>
      <c r="AB55" s="334"/>
      <c r="AC55" s="334"/>
      <c r="AD55" s="310"/>
      <c r="AV55" s="310"/>
      <c r="AW55" s="310"/>
      <c r="AX55" s="310"/>
      <c r="AY55" s="310"/>
      <c r="AZ55" s="310"/>
      <c r="BA55" s="310"/>
      <c r="BB55" s="310"/>
      <c r="BC55" s="310"/>
      <c r="BD55" s="310"/>
      <c r="BE55" s="310"/>
      <c r="BF55" s="310"/>
    </row>
    <row r="56" spans="1:58" ht="30" customHeight="1" thickBot="1" x14ac:dyDescent="0.25">
      <c r="A56" s="1269" t="s">
        <v>31</v>
      </c>
      <c r="B56" s="1270"/>
      <c r="C56" s="1274" t="s">
        <v>348</v>
      </c>
      <c r="D56" s="1275" t="s">
        <v>275</v>
      </c>
      <c r="E56" s="1276" t="s">
        <v>514</v>
      </c>
      <c r="F56" s="729">
        <v>15.4</v>
      </c>
      <c r="G56" s="730">
        <v>0.1</v>
      </c>
      <c r="H56" s="731">
        <v>-0.1</v>
      </c>
      <c r="I56" s="732">
        <v>0.3</v>
      </c>
      <c r="J56" s="1279">
        <v>2</v>
      </c>
      <c r="K56" s="1281">
        <v>43606</v>
      </c>
      <c r="L56" s="1283" t="s">
        <v>500</v>
      </c>
      <c r="M56" s="356"/>
      <c r="N56" s="325"/>
      <c r="O56" s="311"/>
      <c r="P56" s="370"/>
      <c r="Q56" s="370"/>
      <c r="R56" s="370"/>
      <c r="S56" s="419"/>
      <c r="T56" s="420"/>
      <c r="U56" s="334"/>
      <c r="V56" s="334"/>
      <c r="W56" s="334"/>
      <c r="X56" s="334"/>
      <c r="Y56" s="334"/>
      <c r="Z56" s="334"/>
      <c r="AA56" s="334"/>
      <c r="AB56" s="334"/>
      <c r="AC56" s="334"/>
      <c r="AD56" s="310"/>
      <c r="AV56" s="310"/>
      <c r="AW56" s="310"/>
      <c r="AX56" s="310"/>
      <c r="AY56" s="310"/>
      <c r="AZ56" s="310"/>
      <c r="BA56" s="310"/>
      <c r="BB56" s="310"/>
      <c r="BC56" s="310"/>
      <c r="BD56" s="310"/>
      <c r="BE56" s="310"/>
      <c r="BF56" s="310"/>
    </row>
    <row r="57" spans="1:58" ht="30" customHeight="1" x14ac:dyDescent="0.2">
      <c r="A57" s="1271"/>
      <c r="B57" s="1270"/>
      <c r="C57" s="1274"/>
      <c r="D57" s="1275"/>
      <c r="E57" s="1277"/>
      <c r="F57" s="733">
        <v>24.7</v>
      </c>
      <c r="G57" s="734">
        <v>0.1</v>
      </c>
      <c r="H57" s="735">
        <v>0</v>
      </c>
      <c r="I57" s="736">
        <v>0.3</v>
      </c>
      <c r="J57" s="1279"/>
      <c r="K57" s="1281"/>
      <c r="L57" s="1283"/>
      <c r="M57" s="356"/>
      <c r="N57" s="325"/>
      <c r="O57" s="782"/>
      <c r="P57" s="783" t="s">
        <v>3</v>
      </c>
      <c r="Q57" s="784" t="s">
        <v>351</v>
      </c>
      <c r="R57" s="784" t="s">
        <v>16</v>
      </c>
      <c r="S57" s="1397" t="s">
        <v>512</v>
      </c>
      <c r="T57" s="1412" t="s">
        <v>513</v>
      </c>
      <c r="U57" s="334"/>
      <c r="V57" s="334"/>
      <c r="W57" s="334"/>
      <c r="X57" s="334"/>
      <c r="Y57" s="334"/>
      <c r="Z57" s="334"/>
      <c r="AA57" s="334"/>
      <c r="AB57" s="334"/>
      <c r="AC57" s="334"/>
      <c r="AD57" s="310"/>
      <c r="AV57" s="310"/>
      <c r="AW57" s="310"/>
      <c r="AX57" s="310"/>
      <c r="AY57" s="310"/>
      <c r="AZ57" s="310"/>
      <c r="BA57" s="310"/>
      <c r="BB57" s="310"/>
      <c r="BC57" s="310"/>
      <c r="BD57" s="310"/>
      <c r="BE57" s="310"/>
      <c r="BF57" s="310"/>
    </row>
    <row r="58" spans="1:58" ht="30" customHeight="1" thickBot="1" x14ac:dyDescent="0.25">
      <c r="A58" s="1272"/>
      <c r="B58" s="1273"/>
      <c r="C58" s="1274"/>
      <c r="D58" s="1275"/>
      <c r="E58" s="1277"/>
      <c r="F58" s="737">
        <v>29.4</v>
      </c>
      <c r="G58" s="738">
        <v>0.1</v>
      </c>
      <c r="H58" s="739">
        <v>0</v>
      </c>
      <c r="I58" s="740">
        <v>0.3</v>
      </c>
      <c r="J58" s="1280"/>
      <c r="K58" s="1282"/>
      <c r="L58" s="1284"/>
      <c r="M58" s="356"/>
      <c r="N58" s="325"/>
      <c r="O58" s="1314" t="s">
        <v>352</v>
      </c>
      <c r="P58" s="785">
        <f>MAX(I56:I58)</f>
        <v>0.3</v>
      </c>
      <c r="Q58" s="785">
        <f>MAX(I59:I61)</f>
        <v>1.7</v>
      </c>
      <c r="R58" s="785">
        <f>MAX(I62:I64)</f>
        <v>0.31</v>
      </c>
      <c r="S58" s="1294"/>
      <c r="T58" s="1370"/>
      <c r="U58" s="334"/>
      <c r="V58" s="334"/>
      <c r="W58" s="334"/>
      <c r="X58" s="334"/>
      <c r="Y58" s="334"/>
      <c r="Z58" s="334"/>
      <c r="AA58" s="334"/>
      <c r="AB58" s="334"/>
      <c r="AC58" s="334"/>
      <c r="AD58" s="310"/>
      <c r="AV58" s="310"/>
      <c r="AW58" s="310"/>
      <c r="AX58" s="310"/>
      <c r="AY58" s="310"/>
      <c r="AZ58" s="310"/>
      <c r="BA58" s="310"/>
      <c r="BB58" s="310"/>
      <c r="BC58" s="310"/>
      <c r="BD58" s="310"/>
      <c r="BE58" s="310"/>
      <c r="BF58" s="310"/>
    </row>
    <row r="59" spans="1:58" ht="30" customHeight="1" thickBot="1" x14ac:dyDescent="0.25">
      <c r="A59" s="1287" t="s">
        <v>349</v>
      </c>
      <c r="B59" s="1288"/>
      <c r="C59" s="1274"/>
      <c r="D59" s="1275"/>
      <c r="E59" s="1277"/>
      <c r="F59" s="729">
        <v>33.200000000000003</v>
      </c>
      <c r="G59" s="730">
        <v>0.1</v>
      </c>
      <c r="H59" s="730">
        <v>-3.2</v>
      </c>
      <c r="I59" s="741">
        <v>1.7</v>
      </c>
      <c r="J59" s="1405">
        <v>2</v>
      </c>
      <c r="K59" s="1406">
        <v>43608</v>
      </c>
      <c r="L59" s="1413" t="s">
        <v>501</v>
      </c>
      <c r="M59" s="356"/>
      <c r="N59" s="325"/>
      <c r="O59" s="1315"/>
      <c r="P59" s="893"/>
      <c r="Q59" s="786"/>
      <c r="R59" s="786"/>
      <c r="S59" s="1295"/>
      <c r="T59" s="1371"/>
      <c r="U59" s="334"/>
      <c r="V59" s="334"/>
      <c r="W59" s="334"/>
      <c r="X59" s="334"/>
      <c r="Y59" s="334"/>
      <c r="Z59" s="334"/>
      <c r="AA59" s="334"/>
      <c r="AB59" s="334"/>
      <c r="AC59" s="334"/>
      <c r="AD59" s="310"/>
      <c r="AV59" s="310"/>
      <c r="AW59" s="310"/>
      <c r="AX59" s="310"/>
      <c r="AY59" s="310"/>
      <c r="AZ59" s="310"/>
      <c r="BA59" s="310"/>
      <c r="BB59" s="310"/>
      <c r="BC59" s="310"/>
      <c r="BD59" s="310"/>
      <c r="BE59" s="310"/>
      <c r="BF59" s="310"/>
    </row>
    <row r="60" spans="1:58" ht="30" customHeight="1" x14ac:dyDescent="0.2">
      <c r="A60" s="1285"/>
      <c r="B60" s="1286"/>
      <c r="C60" s="1274"/>
      <c r="D60" s="1275"/>
      <c r="E60" s="1277"/>
      <c r="F60" s="742">
        <v>51.2</v>
      </c>
      <c r="G60" s="734">
        <v>0.1</v>
      </c>
      <c r="H60" s="743">
        <v>-1.2</v>
      </c>
      <c r="I60" s="736">
        <v>1.7</v>
      </c>
      <c r="J60" s="1279"/>
      <c r="K60" s="1281"/>
      <c r="L60" s="1283"/>
      <c r="M60" s="356"/>
      <c r="N60" s="325"/>
      <c r="O60" s="1095"/>
      <c r="P60" s="310"/>
      <c r="Q60" s="333"/>
      <c r="R60" s="334"/>
      <c r="S60" s="334"/>
      <c r="T60" s="1096"/>
      <c r="U60" s="334"/>
      <c r="V60" s="334"/>
      <c r="W60" s="334"/>
      <c r="X60" s="334"/>
      <c r="Y60" s="334"/>
      <c r="Z60" s="334"/>
      <c r="AA60" s="334"/>
      <c r="AB60" s="334"/>
      <c r="AC60" s="334"/>
      <c r="AD60" s="310"/>
      <c r="AV60" s="310"/>
      <c r="AW60" s="310"/>
      <c r="AX60" s="310"/>
      <c r="AY60" s="310"/>
      <c r="AZ60" s="310"/>
      <c r="BA60" s="310"/>
      <c r="BB60" s="310"/>
      <c r="BC60" s="310"/>
      <c r="BD60" s="310"/>
      <c r="BE60" s="310"/>
      <c r="BF60" s="310"/>
    </row>
    <row r="61" spans="1:58" ht="30" customHeight="1" thickBot="1" x14ac:dyDescent="0.25">
      <c r="A61" s="1289"/>
      <c r="B61" s="1290"/>
      <c r="C61" s="1274"/>
      <c r="D61" s="1275"/>
      <c r="E61" s="1277"/>
      <c r="F61" s="744">
        <v>77.2</v>
      </c>
      <c r="G61" s="738">
        <v>0.1</v>
      </c>
      <c r="H61" s="745">
        <v>2.8</v>
      </c>
      <c r="I61" s="740">
        <v>1.7</v>
      </c>
      <c r="J61" s="1280"/>
      <c r="K61" s="1282"/>
      <c r="L61" s="1284"/>
      <c r="M61" s="356"/>
      <c r="N61" s="325"/>
      <c r="O61" s="1095"/>
      <c r="P61" s="310"/>
      <c r="Q61" s="333"/>
      <c r="R61" s="334"/>
      <c r="S61" s="334"/>
      <c r="T61" s="1096"/>
      <c r="U61" s="334"/>
      <c r="V61" s="334"/>
      <c r="W61" s="334"/>
      <c r="X61" s="334"/>
      <c r="Y61" s="334"/>
      <c r="Z61" s="334"/>
      <c r="AA61" s="334"/>
      <c r="AB61" s="334"/>
      <c r="AC61" s="334"/>
      <c r="AD61" s="310"/>
      <c r="AV61" s="310"/>
      <c r="AW61" s="310"/>
      <c r="AX61" s="310"/>
      <c r="AY61" s="310"/>
      <c r="AZ61" s="310"/>
      <c r="BA61" s="310"/>
      <c r="BB61" s="310"/>
      <c r="BC61" s="310"/>
      <c r="BD61" s="310"/>
      <c r="BE61" s="310"/>
      <c r="BF61" s="310"/>
    </row>
    <row r="62" spans="1:58" ht="30" customHeight="1" x14ac:dyDescent="0.2">
      <c r="A62" s="1285" t="s">
        <v>89</v>
      </c>
      <c r="B62" s="1286"/>
      <c r="C62" s="1274"/>
      <c r="D62" s="1275"/>
      <c r="E62" s="1278"/>
      <c r="F62" s="729">
        <v>698.2</v>
      </c>
      <c r="G62" s="730">
        <v>0.1</v>
      </c>
      <c r="H62" s="746">
        <v>-1</v>
      </c>
      <c r="I62" s="741">
        <v>9.2999999999999999E-2</v>
      </c>
      <c r="J62" s="1405">
        <v>2</v>
      </c>
      <c r="K62" s="1406">
        <v>43600</v>
      </c>
      <c r="L62" s="1409" t="s">
        <v>502</v>
      </c>
      <c r="M62" s="356"/>
      <c r="N62" s="325"/>
      <c r="O62" s="1095"/>
      <c r="P62" s="310"/>
      <c r="Q62" s="333"/>
      <c r="R62" s="334"/>
      <c r="S62" s="334"/>
      <c r="T62" s="1096"/>
      <c r="U62" s="334"/>
      <c r="V62" s="334"/>
      <c r="W62" s="334"/>
      <c r="X62" s="334"/>
      <c r="Y62" s="334"/>
      <c r="Z62" s="334"/>
      <c r="AA62" s="334"/>
      <c r="AB62" s="334"/>
      <c r="AC62" s="334"/>
      <c r="AD62" s="310"/>
      <c r="AV62" s="310"/>
      <c r="AW62" s="310"/>
      <c r="AX62" s="310"/>
      <c r="AY62" s="310"/>
      <c r="AZ62" s="310"/>
      <c r="BA62" s="310"/>
      <c r="BB62" s="310"/>
      <c r="BC62" s="310"/>
      <c r="BD62" s="310"/>
      <c r="BE62" s="310"/>
      <c r="BF62" s="310"/>
    </row>
    <row r="63" spans="1:58" ht="30" customHeight="1" x14ac:dyDescent="0.2">
      <c r="A63" s="1285"/>
      <c r="B63" s="1286"/>
      <c r="C63" s="1274"/>
      <c r="D63" s="1275"/>
      <c r="E63" s="1278"/>
      <c r="F63" s="733">
        <v>798.4</v>
      </c>
      <c r="G63" s="747">
        <v>0.1</v>
      </c>
      <c r="H63" s="748">
        <v>-0.77</v>
      </c>
      <c r="I63" s="736">
        <v>0.14000000000000001</v>
      </c>
      <c r="J63" s="1279"/>
      <c r="K63" s="1281"/>
      <c r="L63" s="1410"/>
      <c r="M63" s="356"/>
      <c r="N63" s="325"/>
      <c r="O63" s="1095"/>
      <c r="P63" s="310"/>
      <c r="Q63" s="333"/>
      <c r="R63" s="334"/>
      <c r="S63" s="334"/>
      <c r="T63" s="1096"/>
      <c r="U63" s="334"/>
      <c r="V63" s="334"/>
      <c r="W63" s="334"/>
      <c r="X63" s="334"/>
      <c r="Y63" s="334"/>
      <c r="Z63" s="334"/>
      <c r="AA63" s="334"/>
      <c r="AB63" s="334"/>
      <c r="AC63" s="334"/>
      <c r="AD63" s="310"/>
      <c r="AV63" s="310"/>
      <c r="AW63" s="310"/>
      <c r="AX63" s="310"/>
      <c r="AY63" s="310"/>
      <c r="AZ63" s="310"/>
      <c r="BA63" s="310"/>
      <c r="BB63" s="310"/>
      <c r="BC63" s="310"/>
      <c r="BD63" s="310"/>
      <c r="BE63" s="310"/>
      <c r="BF63" s="310"/>
    </row>
    <row r="64" spans="1:58" ht="30" customHeight="1" thickBot="1" x14ac:dyDescent="0.25">
      <c r="A64" s="1285"/>
      <c r="B64" s="1286"/>
      <c r="C64" s="1274"/>
      <c r="D64" s="1275"/>
      <c r="E64" s="1278"/>
      <c r="F64" s="737">
        <v>848.7</v>
      </c>
      <c r="G64" s="745">
        <v>0.1</v>
      </c>
      <c r="H64" s="749">
        <v>-0.78</v>
      </c>
      <c r="I64" s="740">
        <v>0.31</v>
      </c>
      <c r="J64" s="1408"/>
      <c r="K64" s="1407"/>
      <c r="L64" s="1411"/>
      <c r="M64" s="356"/>
      <c r="N64" s="325"/>
      <c r="O64" s="1095"/>
      <c r="P64" s="310"/>
      <c r="Q64" s="333"/>
      <c r="R64" s="334"/>
      <c r="S64" s="334"/>
      <c r="T64" s="1096"/>
      <c r="U64" s="334"/>
      <c r="V64" s="334"/>
      <c r="W64" s="334"/>
      <c r="X64" s="334"/>
      <c r="Y64" s="334"/>
      <c r="Z64" s="334"/>
      <c r="AA64" s="334"/>
      <c r="AB64" s="334"/>
      <c r="AC64" s="334"/>
      <c r="AD64" s="310"/>
      <c r="AV64" s="310"/>
      <c r="AW64" s="310"/>
      <c r="AX64" s="310"/>
      <c r="AY64" s="310"/>
      <c r="AZ64" s="310"/>
      <c r="BA64" s="310"/>
      <c r="BB64" s="310"/>
      <c r="BC64" s="310"/>
      <c r="BD64" s="310"/>
      <c r="BE64" s="310"/>
      <c r="BF64" s="310"/>
    </row>
    <row r="65" spans="1:58" ht="30" customHeight="1" x14ac:dyDescent="0.2">
      <c r="A65" s="339"/>
      <c r="B65" s="422"/>
      <c r="C65" s="376"/>
      <c r="D65" s="413"/>
      <c r="E65" s="447"/>
      <c r="F65" s="448"/>
      <c r="G65" s="448"/>
      <c r="H65" s="448"/>
      <c r="I65" s="448"/>
      <c r="J65" s="448"/>
      <c r="K65" s="449"/>
      <c r="L65" s="450"/>
      <c r="M65" s="356"/>
      <c r="N65" s="325"/>
      <c r="O65" s="1095"/>
      <c r="P65" s="310"/>
      <c r="Q65" s="333"/>
      <c r="R65" s="334"/>
      <c r="S65" s="334"/>
      <c r="T65" s="1096"/>
      <c r="U65" s="334"/>
      <c r="V65" s="334"/>
      <c r="W65" s="334"/>
      <c r="X65" s="334"/>
      <c r="Y65" s="334"/>
      <c r="Z65" s="334"/>
      <c r="AA65" s="334"/>
      <c r="AB65" s="334"/>
      <c r="AC65" s="334"/>
      <c r="AD65" s="310"/>
      <c r="AV65" s="310"/>
      <c r="AW65" s="310"/>
      <c r="AX65" s="310"/>
      <c r="AY65" s="310"/>
      <c r="AZ65" s="310"/>
      <c r="BA65" s="310"/>
      <c r="BB65" s="310"/>
      <c r="BC65" s="310"/>
      <c r="BD65" s="310"/>
      <c r="BE65" s="310"/>
      <c r="BF65" s="310"/>
    </row>
    <row r="66" spans="1:58" ht="30" customHeight="1" thickBot="1" x14ac:dyDescent="0.25">
      <c r="A66" s="402"/>
      <c r="B66" s="423"/>
      <c r="C66" s="406"/>
      <c r="D66" s="381"/>
      <c r="E66" s="451"/>
      <c r="F66" s="452"/>
      <c r="G66" s="452"/>
      <c r="H66" s="452"/>
      <c r="I66" s="452"/>
      <c r="J66" s="712"/>
      <c r="K66" s="454"/>
      <c r="L66" s="458"/>
      <c r="M66" s="356"/>
      <c r="N66" s="325"/>
      <c r="O66" s="1095"/>
      <c r="P66" s="310"/>
      <c r="Q66" s="333"/>
      <c r="R66" s="334"/>
      <c r="S66" s="334"/>
      <c r="T66" s="1096"/>
      <c r="U66" s="334"/>
      <c r="V66" s="334"/>
      <c r="W66" s="334"/>
      <c r="X66" s="334"/>
      <c r="Y66" s="334"/>
      <c r="Z66" s="334"/>
      <c r="AA66" s="334"/>
      <c r="AB66" s="334"/>
      <c r="AC66" s="334"/>
      <c r="AD66" s="310"/>
      <c r="AV66" s="310"/>
      <c r="AW66" s="310"/>
      <c r="AX66" s="310"/>
      <c r="AY66" s="310"/>
      <c r="AZ66" s="310"/>
      <c r="BA66" s="310"/>
      <c r="BB66" s="310"/>
      <c r="BC66" s="310"/>
      <c r="BD66" s="310"/>
      <c r="BE66" s="310"/>
      <c r="BF66" s="310"/>
    </row>
    <row r="67" spans="1:58" ht="30" customHeight="1" x14ac:dyDescent="0.2">
      <c r="A67" s="1296" t="s">
        <v>31</v>
      </c>
      <c r="B67" s="1297"/>
      <c r="C67" s="1302" t="s">
        <v>353</v>
      </c>
      <c r="D67" s="1304" t="s">
        <v>275</v>
      </c>
      <c r="E67" s="1306" t="s">
        <v>517</v>
      </c>
      <c r="F67" s="750">
        <v>15.5</v>
      </c>
      <c r="G67" s="730">
        <v>0.1</v>
      </c>
      <c r="H67" s="730">
        <v>-0.2</v>
      </c>
      <c r="I67" s="751">
        <v>0.3</v>
      </c>
      <c r="J67" s="1307">
        <v>2</v>
      </c>
      <c r="K67" s="1356">
        <v>43606</v>
      </c>
      <c r="L67" s="1291" t="s">
        <v>503</v>
      </c>
      <c r="M67" s="356"/>
      <c r="N67" s="325"/>
      <c r="O67" s="787"/>
      <c r="P67" s="788" t="s">
        <v>3</v>
      </c>
      <c r="Q67" s="789" t="s">
        <v>351</v>
      </c>
      <c r="R67" s="789" t="s">
        <v>16</v>
      </c>
      <c r="S67" s="1293" t="s">
        <v>515</v>
      </c>
      <c r="T67" s="1369" t="s">
        <v>516</v>
      </c>
      <c r="U67" s="334"/>
      <c r="V67" s="334"/>
      <c r="W67" s="334"/>
      <c r="X67" s="334"/>
      <c r="Y67" s="334"/>
      <c r="Z67" s="334"/>
      <c r="AA67" s="334"/>
      <c r="AB67" s="334"/>
      <c r="AC67" s="334"/>
      <c r="AD67" s="310"/>
      <c r="AV67" s="310"/>
      <c r="AW67" s="310"/>
      <c r="AX67" s="310"/>
      <c r="AY67" s="310"/>
      <c r="AZ67" s="310"/>
      <c r="BA67" s="310"/>
      <c r="BB67" s="310"/>
      <c r="BC67" s="310"/>
      <c r="BD67" s="310"/>
      <c r="BE67" s="310"/>
      <c r="BF67" s="310"/>
    </row>
    <row r="68" spans="1:58" ht="30" customHeight="1" x14ac:dyDescent="0.2">
      <c r="A68" s="1298"/>
      <c r="B68" s="1299"/>
      <c r="C68" s="1274"/>
      <c r="D68" s="1278"/>
      <c r="E68" s="1277"/>
      <c r="F68" s="733">
        <v>24.6</v>
      </c>
      <c r="G68" s="747">
        <v>0.1</v>
      </c>
      <c r="H68" s="747">
        <v>0.1</v>
      </c>
      <c r="I68" s="752">
        <v>0.3</v>
      </c>
      <c r="J68" s="1308"/>
      <c r="K68" s="1312"/>
      <c r="L68" s="1292"/>
      <c r="M68" s="356"/>
      <c r="N68" s="325"/>
      <c r="O68" s="1314" t="s">
        <v>354</v>
      </c>
      <c r="P68" s="785">
        <f>MAX(I66:I69)</f>
        <v>0.4</v>
      </c>
      <c r="Q68" s="790">
        <f>MAX(I70:I72)</f>
        <v>1.7</v>
      </c>
      <c r="R68" s="791">
        <f>MAX(I73:I75)</f>
        <v>0.56999999999999995</v>
      </c>
      <c r="S68" s="1294"/>
      <c r="T68" s="1370"/>
      <c r="U68" s="334"/>
      <c r="V68" s="334"/>
      <c r="W68" s="334"/>
      <c r="X68" s="334"/>
      <c r="Y68" s="334"/>
      <c r="Z68" s="334"/>
      <c r="AA68" s="334"/>
      <c r="AB68" s="334"/>
      <c r="AC68" s="334"/>
      <c r="AD68" s="310"/>
      <c r="AV68" s="310"/>
      <c r="AW68" s="310"/>
      <c r="AX68" s="310"/>
      <c r="AY68" s="310"/>
      <c r="AZ68" s="310"/>
      <c r="BA68" s="310"/>
      <c r="BB68" s="310"/>
      <c r="BC68" s="310"/>
      <c r="BD68" s="310"/>
      <c r="BE68" s="310"/>
      <c r="BF68" s="310"/>
    </row>
    <row r="69" spans="1:58" ht="30" customHeight="1" thickBot="1" x14ac:dyDescent="0.25">
      <c r="A69" s="1300"/>
      <c r="B69" s="1301"/>
      <c r="C69" s="1274"/>
      <c r="D69" s="1278"/>
      <c r="E69" s="1277"/>
      <c r="F69" s="744">
        <v>33.9</v>
      </c>
      <c r="G69" s="745">
        <v>0.1</v>
      </c>
      <c r="H69" s="745">
        <v>0.3</v>
      </c>
      <c r="I69" s="753">
        <v>0.4</v>
      </c>
      <c r="J69" s="1308"/>
      <c r="K69" s="1312"/>
      <c r="L69" s="1292"/>
      <c r="M69" s="356"/>
      <c r="N69" s="325"/>
      <c r="O69" s="1315"/>
      <c r="P69" s="893"/>
      <c r="Q69" s="786"/>
      <c r="R69" s="786"/>
      <c r="S69" s="1295"/>
      <c r="T69" s="1371"/>
      <c r="U69" s="334"/>
      <c r="V69" s="334"/>
      <c r="W69" s="334"/>
      <c r="X69" s="334"/>
      <c r="Y69" s="334"/>
      <c r="Z69" s="334"/>
      <c r="AA69" s="334"/>
      <c r="AB69" s="334"/>
      <c r="AC69" s="334"/>
      <c r="AD69" s="310"/>
      <c r="AV69" s="310"/>
      <c r="AW69" s="310"/>
      <c r="AX69" s="310"/>
      <c r="AY69" s="310"/>
      <c r="AZ69" s="310"/>
      <c r="BA69" s="310"/>
      <c r="BB69" s="310"/>
      <c r="BC69" s="310"/>
      <c r="BD69" s="310"/>
      <c r="BE69" s="310"/>
      <c r="BF69" s="310"/>
    </row>
    <row r="70" spans="1:58" ht="30" customHeight="1" x14ac:dyDescent="0.2">
      <c r="A70" s="1287" t="s">
        <v>349</v>
      </c>
      <c r="B70" s="1288"/>
      <c r="C70" s="1274"/>
      <c r="D70" s="1278"/>
      <c r="E70" s="1277"/>
      <c r="F70" s="729">
        <v>32.700000000000003</v>
      </c>
      <c r="G70" s="754">
        <v>0.1</v>
      </c>
      <c r="H70" s="754">
        <v>-2.7</v>
      </c>
      <c r="I70" s="755">
        <v>1.7</v>
      </c>
      <c r="J70" s="1309">
        <v>2</v>
      </c>
      <c r="K70" s="1311">
        <v>43608</v>
      </c>
      <c r="L70" s="1338" t="s">
        <v>504</v>
      </c>
      <c r="M70" s="356"/>
      <c r="N70" s="325"/>
      <c r="O70" s="1095"/>
      <c r="P70" s="310"/>
      <c r="Q70" s="333"/>
      <c r="R70" s="334"/>
      <c r="S70" s="334"/>
      <c r="T70" s="1096"/>
      <c r="U70" s="334"/>
      <c r="V70" s="334"/>
      <c r="W70" s="334"/>
      <c r="X70" s="334"/>
      <c r="Y70" s="334"/>
      <c r="Z70" s="334"/>
      <c r="AA70" s="334"/>
      <c r="AB70" s="334"/>
      <c r="AC70" s="334"/>
      <c r="AD70" s="310"/>
      <c r="AV70" s="310"/>
      <c r="AW70" s="310"/>
      <c r="AX70" s="310"/>
      <c r="AY70" s="310"/>
      <c r="AZ70" s="310"/>
      <c r="BA70" s="310"/>
      <c r="BB70" s="310"/>
      <c r="BC70" s="310"/>
      <c r="BD70" s="310"/>
      <c r="BE70" s="310"/>
      <c r="BF70" s="310"/>
    </row>
    <row r="71" spans="1:58" ht="30" customHeight="1" x14ac:dyDescent="0.2">
      <c r="A71" s="1285"/>
      <c r="B71" s="1286"/>
      <c r="C71" s="1274"/>
      <c r="D71" s="1278"/>
      <c r="E71" s="1277"/>
      <c r="F71" s="733">
        <v>50.7</v>
      </c>
      <c r="G71" s="756">
        <v>0.1</v>
      </c>
      <c r="H71" s="756">
        <v>-0.7</v>
      </c>
      <c r="I71" s="757">
        <v>1.7</v>
      </c>
      <c r="J71" s="1308"/>
      <c r="K71" s="1312"/>
      <c r="L71" s="1292"/>
      <c r="M71" s="356"/>
      <c r="N71" s="325"/>
      <c r="O71" s="1095"/>
      <c r="P71" s="310"/>
      <c r="Q71" s="333"/>
      <c r="R71" s="334"/>
      <c r="S71" s="334"/>
      <c r="T71" s="1096"/>
      <c r="U71" s="334"/>
      <c r="V71" s="334"/>
      <c r="W71" s="334"/>
      <c r="X71" s="334"/>
      <c r="Y71" s="334"/>
      <c r="Z71" s="334"/>
      <c r="AA71" s="334"/>
      <c r="AB71" s="334"/>
      <c r="AC71" s="334"/>
      <c r="AD71" s="310"/>
      <c r="AV71" s="310"/>
      <c r="AW71" s="310"/>
      <c r="AX71" s="310"/>
      <c r="AY71" s="310"/>
      <c r="AZ71" s="310"/>
      <c r="BA71" s="310"/>
      <c r="BB71" s="310"/>
      <c r="BC71" s="310"/>
      <c r="BD71" s="310"/>
      <c r="BE71" s="310"/>
      <c r="BF71" s="310"/>
    </row>
    <row r="72" spans="1:58" ht="30" customHeight="1" thickBot="1" x14ac:dyDescent="0.25">
      <c r="A72" s="1289"/>
      <c r="B72" s="1290"/>
      <c r="C72" s="1274"/>
      <c r="D72" s="1278"/>
      <c r="E72" s="1277"/>
      <c r="F72" s="744">
        <v>68.099999999999994</v>
      </c>
      <c r="G72" s="758">
        <v>0.1</v>
      </c>
      <c r="H72" s="758">
        <v>1.8</v>
      </c>
      <c r="I72" s="759">
        <v>1.7</v>
      </c>
      <c r="J72" s="1308"/>
      <c r="K72" s="1312"/>
      <c r="L72" s="1292"/>
      <c r="M72" s="356"/>
      <c r="N72" s="325"/>
      <c r="O72" s="1095"/>
      <c r="P72" s="310"/>
      <c r="Q72" s="333"/>
      <c r="R72" s="334"/>
      <c r="S72" s="334"/>
      <c r="T72" s="1096"/>
      <c r="U72" s="334"/>
      <c r="V72" s="334"/>
      <c r="W72" s="334"/>
      <c r="X72" s="334"/>
      <c r="Y72" s="334"/>
      <c r="Z72" s="334"/>
      <c r="AA72" s="334"/>
      <c r="AB72" s="334"/>
      <c r="AC72" s="334"/>
      <c r="AD72" s="310"/>
      <c r="AV72" s="310"/>
      <c r="AW72" s="310"/>
      <c r="AX72" s="310"/>
      <c r="AY72" s="310"/>
      <c r="AZ72" s="310"/>
      <c r="BA72" s="310"/>
      <c r="BB72" s="310"/>
      <c r="BC72" s="310"/>
      <c r="BD72" s="310"/>
      <c r="BE72" s="310"/>
      <c r="BF72" s="310"/>
    </row>
    <row r="73" spans="1:58" ht="30" customHeight="1" x14ac:dyDescent="0.2">
      <c r="A73" s="1287" t="s">
        <v>89</v>
      </c>
      <c r="B73" s="1288"/>
      <c r="C73" s="1274"/>
      <c r="D73" s="1278"/>
      <c r="E73" s="1278"/>
      <c r="F73" s="750">
        <v>397.5</v>
      </c>
      <c r="G73" s="754">
        <v>0.1</v>
      </c>
      <c r="H73" s="760">
        <v>-1.67</v>
      </c>
      <c r="I73" s="761">
        <v>0.12</v>
      </c>
      <c r="J73" s="1309">
        <v>2</v>
      </c>
      <c r="K73" s="1311">
        <v>43587</v>
      </c>
      <c r="L73" s="1332" t="s">
        <v>505</v>
      </c>
      <c r="M73" s="356"/>
      <c r="N73" s="325"/>
      <c r="O73" s="1095"/>
      <c r="P73" s="310"/>
      <c r="Q73" s="333"/>
      <c r="R73" s="334"/>
      <c r="S73" s="334"/>
      <c r="T73" s="1096"/>
      <c r="U73" s="334"/>
      <c r="V73" s="334"/>
      <c r="W73" s="334"/>
      <c r="X73" s="334"/>
      <c r="Y73" s="334"/>
      <c r="Z73" s="334"/>
      <c r="AA73" s="334"/>
      <c r="AB73" s="334"/>
      <c r="AC73" s="334"/>
      <c r="AD73" s="310"/>
      <c r="AV73" s="310"/>
      <c r="AW73" s="310"/>
      <c r="AX73" s="310"/>
      <c r="AY73" s="310"/>
      <c r="AZ73" s="310"/>
      <c r="BA73" s="310"/>
      <c r="BB73" s="310"/>
      <c r="BC73" s="310"/>
      <c r="BD73" s="310"/>
      <c r="BE73" s="310"/>
      <c r="BF73" s="310"/>
    </row>
    <row r="74" spans="1:58" ht="30" customHeight="1" x14ac:dyDescent="0.2">
      <c r="A74" s="1285"/>
      <c r="B74" s="1286"/>
      <c r="C74" s="1274"/>
      <c r="D74" s="1278"/>
      <c r="E74" s="1278"/>
      <c r="F74" s="733">
        <v>798.5</v>
      </c>
      <c r="G74" s="756">
        <v>0.1</v>
      </c>
      <c r="H74" s="762">
        <v>-0.7</v>
      </c>
      <c r="I74" s="763">
        <v>0.27</v>
      </c>
      <c r="J74" s="1308"/>
      <c r="K74" s="1312"/>
      <c r="L74" s="1292"/>
      <c r="M74" s="356"/>
      <c r="N74" s="325"/>
      <c r="O74" s="1095"/>
      <c r="P74" s="310"/>
      <c r="Q74" s="333"/>
      <c r="R74" s="334"/>
      <c r="S74" s="334"/>
      <c r="T74" s="1096"/>
      <c r="U74" s="334"/>
      <c r="V74" s="334"/>
      <c r="W74" s="334"/>
      <c r="X74" s="334"/>
      <c r="Y74" s="334"/>
      <c r="Z74" s="334"/>
      <c r="AA74" s="334"/>
      <c r="AB74" s="334"/>
      <c r="AC74" s="334"/>
      <c r="AD74" s="310"/>
      <c r="AV74" s="310"/>
      <c r="AW74" s="310"/>
      <c r="AX74" s="310"/>
      <c r="AY74" s="310"/>
      <c r="AZ74" s="310"/>
      <c r="BA74" s="310"/>
      <c r="BB74" s="310"/>
      <c r="BC74" s="310"/>
      <c r="BD74" s="310"/>
      <c r="BE74" s="310"/>
      <c r="BF74" s="310"/>
    </row>
    <row r="75" spans="1:58" ht="30" customHeight="1" thickBot="1" x14ac:dyDescent="0.25">
      <c r="A75" s="1289"/>
      <c r="B75" s="1290"/>
      <c r="C75" s="1303"/>
      <c r="D75" s="1305"/>
      <c r="E75" s="1305"/>
      <c r="F75" s="744">
        <v>1099.5999999999999</v>
      </c>
      <c r="G75" s="758">
        <v>0.1</v>
      </c>
      <c r="H75" s="764">
        <v>-0.28999999999999998</v>
      </c>
      <c r="I75" s="765">
        <v>0.56999999999999995</v>
      </c>
      <c r="J75" s="1310"/>
      <c r="K75" s="1313"/>
      <c r="L75" s="1333"/>
      <c r="M75" s="356"/>
      <c r="N75" s="325"/>
      <c r="O75" s="1095"/>
      <c r="P75" s="310"/>
      <c r="Q75" s="333"/>
      <c r="R75" s="334"/>
      <c r="S75" s="334"/>
      <c r="T75" s="1096"/>
      <c r="U75" s="334"/>
      <c r="V75" s="334"/>
      <c r="W75" s="334"/>
      <c r="X75" s="334"/>
      <c r="Y75" s="334"/>
      <c r="Z75" s="334"/>
      <c r="AA75" s="334"/>
      <c r="AB75" s="334"/>
      <c r="AC75" s="334"/>
      <c r="AD75" s="310"/>
      <c r="AV75" s="310"/>
      <c r="AW75" s="310"/>
      <c r="AX75" s="310"/>
      <c r="AY75" s="310"/>
      <c r="AZ75" s="310"/>
      <c r="BA75" s="310"/>
      <c r="BB75" s="310"/>
      <c r="BC75" s="310"/>
      <c r="BD75" s="310"/>
      <c r="BE75" s="310"/>
      <c r="BF75" s="310"/>
    </row>
    <row r="76" spans="1:58" ht="30" customHeight="1" x14ac:dyDescent="0.2">
      <c r="A76" s="310"/>
      <c r="B76" s="421"/>
      <c r="C76" s="310"/>
      <c r="D76" s="310"/>
      <c r="E76" s="325"/>
      <c r="F76" s="325"/>
      <c r="G76" s="325"/>
      <c r="H76" s="325"/>
      <c r="I76" s="325"/>
      <c r="J76" s="325"/>
      <c r="K76" s="325"/>
      <c r="L76" s="325"/>
      <c r="M76" s="356"/>
      <c r="N76" s="325"/>
      <c r="O76" s="1095"/>
      <c r="P76" s="310"/>
      <c r="Q76" s="333"/>
      <c r="R76" s="334"/>
      <c r="S76" s="334"/>
      <c r="T76" s="1096"/>
      <c r="U76" s="334"/>
      <c r="V76" s="334"/>
      <c r="W76" s="334"/>
      <c r="X76" s="334"/>
      <c r="Y76" s="334"/>
      <c r="Z76" s="334"/>
      <c r="AA76" s="334"/>
      <c r="AB76" s="334"/>
      <c r="AC76" s="334"/>
      <c r="AD76" s="310"/>
      <c r="AV76" s="310"/>
      <c r="AW76" s="310"/>
      <c r="AX76" s="310"/>
      <c r="AY76" s="310"/>
      <c r="AZ76" s="310"/>
      <c r="BA76" s="310"/>
      <c r="BB76" s="310"/>
      <c r="BC76" s="310"/>
      <c r="BD76" s="310"/>
      <c r="BE76" s="310"/>
      <c r="BF76" s="310"/>
    </row>
    <row r="77" spans="1:58" ht="30" customHeight="1" thickBot="1" x14ac:dyDescent="0.25">
      <c r="A77" s="310"/>
      <c r="B77" s="421"/>
      <c r="C77" s="378"/>
      <c r="D77" s="379"/>
      <c r="E77" s="453"/>
      <c r="F77" s="712"/>
      <c r="G77" s="712"/>
      <c r="H77" s="712"/>
      <c r="I77" s="712"/>
      <c r="J77" s="712"/>
      <c r="K77" s="454"/>
      <c r="L77" s="356"/>
      <c r="M77" s="356"/>
      <c r="N77" s="325"/>
      <c r="O77" s="1095"/>
      <c r="P77" s="310"/>
      <c r="Q77" s="333"/>
      <c r="R77" s="334"/>
      <c r="S77" s="334"/>
      <c r="T77" s="1096"/>
      <c r="U77" s="334"/>
      <c r="V77" s="334"/>
      <c r="W77" s="334"/>
      <c r="X77" s="334"/>
      <c r="Y77" s="334"/>
      <c r="Z77" s="334"/>
      <c r="AA77" s="334"/>
      <c r="AB77" s="334"/>
      <c r="AC77" s="334"/>
      <c r="AD77" s="310"/>
      <c r="AV77" s="310"/>
      <c r="AW77" s="310"/>
      <c r="AX77" s="310"/>
      <c r="AY77" s="310"/>
      <c r="AZ77" s="310"/>
      <c r="BA77" s="310"/>
      <c r="BB77" s="310"/>
      <c r="BC77" s="310"/>
      <c r="BD77" s="310"/>
      <c r="BE77" s="310"/>
      <c r="BF77" s="310"/>
    </row>
    <row r="78" spans="1:58" ht="30" customHeight="1" x14ac:dyDescent="0.2">
      <c r="A78" s="1350" t="s">
        <v>31</v>
      </c>
      <c r="B78" s="1351"/>
      <c r="C78" s="1302" t="s">
        <v>355</v>
      </c>
      <c r="D78" s="1329" t="s">
        <v>275</v>
      </c>
      <c r="E78" s="1306" t="s">
        <v>523</v>
      </c>
      <c r="F78" s="750">
        <v>15.3</v>
      </c>
      <c r="G78" s="730">
        <v>0.1</v>
      </c>
      <c r="H78" s="731">
        <v>-0.1</v>
      </c>
      <c r="I78" s="897">
        <v>0.3</v>
      </c>
      <c r="J78" s="1307">
        <v>2</v>
      </c>
      <c r="K78" s="1356">
        <v>43732</v>
      </c>
      <c r="L78" s="1291" t="s">
        <v>527</v>
      </c>
      <c r="M78" s="356"/>
      <c r="N78" s="325"/>
      <c r="O78" s="787"/>
      <c r="P78" s="788" t="s">
        <v>3</v>
      </c>
      <c r="Q78" s="789" t="s">
        <v>351</v>
      </c>
      <c r="R78" s="789" t="s">
        <v>16</v>
      </c>
      <c r="S78" s="1372" t="s">
        <v>561</v>
      </c>
      <c r="T78" s="1375" t="s">
        <v>562</v>
      </c>
      <c r="U78" s="334"/>
      <c r="V78" s="334"/>
      <c r="W78" s="334"/>
      <c r="X78" s="334"/>
      <c r="Y78" s="334"/>
      <c r="Z78" s="334"/>
      <c r="AA78" s="334"/>
      <c r="AB78" s="334"/>
      <c r="AC78" s="334"/>
      <c r="AD78" s="310"/>
      <c r="AV78" s="310"/>
      <c r="AW78" s="310"/>
      <c r="AX78" s="310"/>
      <c r="AY78" s="310"/>
      <c r="AZ78" s="310"/>
      <c r="BA78" s="310"/>
      <c r="BB78" s="310"/>
      <c r="BC78" s="310"/>
      <c r="BD78" s="310"/>
      <c r="BE78" s="310"/>
      <c r="BF78" s="310"/>
    </row>
    <row r="79" spans="1:58" ht="30" customHeight="1" x14ac:dyDescent="0.2">
      <c r="A79" s="1269"/>
      <c r="B79" s="1352"/>
      <c r="C79" s="1274"/>
      <c r="D79" s="1331"/>
      <c r="E79" s="1277"/>
      <c r="F79" s="733">
        <v>24.8</v>
      </c>
      <c r="G79" s="747">
        <v>0.1</v>
      </c>
      <c r="H79" s="743">
        <v>0</v>
      </c>
      <c r="I79" s="898">
        <v>0.3</v>
      </c>
      <c r="J79" s="1308"/>
      <c r="K79" s="1312"/>
      <c r="L79" s="1292"/>
      <c r="M79" s="356"/>
      <c r="N79" s="325"/>
      <c r="O79" s="1314" t="s">
        <v>357</v>
      </c>
      <c r="P79" s="792">
        <f>MAX(I78:I80)</f>
        <v>0.3</v>
      </c>
      <c r="Q79" s="892">
        <f>MAX(I81:I83)</f>
        <v>1.7</v>
      </c>
      <c r="R79" s="892">
        <f>MAX(I84:I86)</f>
        <v>0.28999999999999998</v>
      </c>
      <c r="S79" s="1373"/>
      <c r="T79" s="1376"/>
      <c r="U79" s="334"/>
      <c r="V79" s="334"/>
      <c r="W79" s="334"/>
      <c r="X79" s="334"/>
      <c r="Y79" s="334"/>
      <c r="Z79" s="334"/>
      <c r="AA79" s="334"/>
      <c r="AB79" s="334"/>
      <c r="AC79" s="334"/>
      <c r="AD79" s="310"/>
      <c r="AV79" s="310"/>
      <c r="AW79" s="310"/>
      <c r="AX79" s="310"/>
      <c r="AY79" s="310"/>
      <c r="AZ79" s="310"/>
      <c r="BA79" s="310"/>
      <c r="BB79" s="310"/>
      <c r="BC79" s="310"/>
      <c r="BD79" s="310"/>
      <c r="BE79" s="310"/>
      <c r="BF79" s="310"/>
    </row>
    <row r="80" spans="1:58" ht="30" customHeight="1" thickBot="1" x14ac:dyDescent="0.25">
      <c r="A80" s="1353"/>
      <c r="B80" s="1354"/>
      <c r="C80" s="1274"/>
      <c r="D80" s="1331"/>
      <c r="E80" s="1277"/>
      <c r="F80" s="744">
        <v>29.6</v>
      </c>
      <c r="G80" s="738">
        <v>0.1</v>
      </c>
      <c r="H80" s="738">
        <v>0.1</v>
      </c>
      <c r="I80" s="740">
        <v>0.3</v>
      </c>
      <c r="J80" s="1308"/>
      <c r="K80" s="1312"/>
      <c r="L80" s="1292"/>
      <c r="M80" s="356"/>
      <c r="N80" s="325"/>
      <c r="O80" s="1315"/>
      <c r="P80" s="893"/>
      <c r="Q80" s="786"/>
      <c r="R80" s="786"/>
      <c r="S80" s="1374"/>
      <c r="T80" s="1377"/>
      <c r="U80" s="334"/>
      <c r="V80" s="334"/>
      <c r="W80" s="334"/>
      <c r="X80" s="334"/>
      <c r="Y80" s="334"/>
      <c r="Z80" s="334"/>
      <c r="AA80" s="334"/>
      <c r="AB80" s="334"/>
      <c r="AC80" s="334"/>
      <c r="AD80" s="310"/>
      <c r="AV80" s="310"/>
      <c r="AW80" s="310"/>
      <c r="AX80" s="310"/>
      <c r="AY80" s="310"/>
      <c r="AZ80" s="310"/>
      <c r="BA80" s="310"/>
      <c r="BB80" s="310"/>
      <c r="BC80" s="310"/>
      <c r="BD80" s="310"/>
      <c r="BE80" s="310"/>
      <c r="BF80" s="310"/>
    </row>
    <row r="81" spans="1:58" ht="30" customHeight="1" x14ac:dyDescent="0.2">
      <c r="A81" s="1287" t="s">
        <v>349</v>
      </c>
      <c r="B81" s="1318"/>
      <c r="C81" s="1274"/>
      <c r="D81" s="1331"/>
      <c r="E81" s="1277"/>
      <c r="F81" s="729">
        <v>32.299999999999997</v>
      </c>
      <c r="G81" s="730">
        <v>0.1</v>
      </c>
      <c r="H81" s="730">
        <v>-2.2999999999999998</v>
      </c>
      <c r="I81" s="741">
        <v>1.7</v>
      </c>
      <c r="J81" s="1335">
        <v>2</v>
      </c>
      <c r="K81" s="1311">
        <v>43733</v>
      </c>
      <c r="L81" s="1338" t="s">
        <v>528</v>
      </c>
      <c r="M81" s="356"/>
      <c r="N81" s="325"/>
      <c r="O81" s="1095"/>
      <c r="P81" s="310"/>
      <c r="Q81" s="333"/>
      <c r="R81" s="334"/>
      <c r="S81" s="334"/>
      <c r="T81" s="1096"/>
      <c r="U81" s="334"/>
      <c r="V81" s="334"/>
      <c r="W81" s="334"/>
      <c r="X81" s="334"/>
      <c r="Y81" s="334"/>
      <c r="Z81" s="334"/>
      <c r="AA81" s="334"/>
      <c r="AB81" s="334"/>
      <c r="AC81" s="334"/>
      <c r="AD81" s="310"/>
      <c r="AV81" s="310"/>
      <c r="AW81" s="310"/>
      <c r="AX81" s="310"/>
      <c r="AY81" s="310"/>
      <c r="AZ81" s="310"/>
      <c r="BA81" s="310"/>
      <c r="BB81" s="310"/>
      <c r="BC81" s="310"/>
      <c r="BD81" s="310"/>
      <c r="BE81" s="310"/>
      <c r="BF81" s="310"/>
    </row>
    <row r="82" spans="1:58" ht="30" customHeight="1" x14ac:dyDescent="0.2">
      <c r="A82" s="1285"/>
      <c r="B82" s="1319"/>
      <c r="C82" s="1274"/>
      <c r="D82" s="1331"/>
      <c r="E82" s="1277"/>
      <c r="F82" s="733">
        <v>50.6</v>
      </c>
      <c r="G82" s="747">
        <v>0.1</v>
      </c>
      <c r="H82" s="747">
        <v>-0.6</v>
      </c>
      <c r="I82" s="736">
        <v>1.7</v>
      </c>
      <c r="J82" s="1308">
        <v>2</v>
      </c>
      <c r="K82" s="1312"/>
      <c r="L82" s="1292"/>
      <c r="M82" s="356"/>
      <c r="N82" s="325"/>
      <c r="O82" s="1095"/>
      <c r="P82" s="310"/>
      <c r="Q82" s="333"/>
      <c r="R82" s="334"/>
      <c r="S82" s="334"/>
      <c r="T82" s="1096"/>
      <c r="U82" s="334"/>
      <c r="V82" s="334"/>
      <c r="W82" s="334"/>
      <c r="X82" s="334"/>
      <c r="Y82" s="334"/>
      <c r="Z82" s="334"/>
      <c r="AA82" s="334"/>
      <c r="AB82" s="334"/>
      <c r="AC82" s="334"/>
      <c r="AD82" s="310"/>
      <c r="AV82" s="310"/>
      <c r="AW82" s="310"/>
      <c r="AX82" s="310"/>
      <c r="AY82" s="310"/>
      <c r="AZ82" s="310"/>
      <c r="BA82" s="310"/>
      <c r="BB82" s="310"/>
      <c r="BC82" s="310"/>
      <c r="BD82" s="310"/>
      <c r="BE82" s="310"/>
      <c r="BF82" s="310"/>
    </row>
    <row r="83" spans="1:58" ht="30" customHeight="1" thickBot="1" x14ac:dyDescent="0.25">
      <c r="A83" s="1289"/>
      <c r="B83" s="1320"/>
      <c r="C83" s="1274"/>
      <c r="D83" s="1331"/>
      <c r="E83" s="1277"/>
      <c r="F83" s="744">
        <v>68.599999999999994</v>
      </c>
      <c r="G83" s="745">
        <v>0.1</v>
      </c>
      <c r="H83" s="745">
        <v>1.4</v>
      </c>
      <c r="I83" s="740">
        <v>1.7</v>
      </c>
      <c r="J83" s="1308"/>
      <c r="K83" s="1312"/>
      <c r="L83" s="1292"/>
      <c r="M83" s="356"/>
      <c r="N83" s="325"/>
      <c r="O83" s="1095"/>
      <c r="P83" s="310"/>
      <c r="Q83" s="333"/>
      <c r="R83" s="334"/>
      <c r="S83" s="334"/>
      <c r="T83" s="1096"/>
      <c r="U83" s="334"/>
      <c r="V83" s="334"/>
      <c r="W83" s="334"/>
      <c r="X83" s="334"/>
      <c r="Y83" s="334"/>
      <c r="Z83" s="334"/>
      <c r="AA83" s="334"/>
      <c r="AB83" s="334"/>
      <c r="AC83" s="334"/>
      <c r="AD83" s="310"/>
      <c r="AV83" s="310"/>
      <c r="AW83" s="310"/>
      <c r="AX83" s="310"/>
      <c r="AY83" s="310"/>
      <c r="AZ83" s="310"/>
      <c r="BA83" s="310"/>
      <c r="BB83" s="310"/>
      <c r="BC83" s="310"/>
      <c r="BD83" s="310"/>
      <c r="BE83" s="310"/>
      <c r="BF83" s="310"/>
    </row>
    <row r="84" spans="1:58" ht="30" customHeight="1" x14ac:dyDescent="0.2">
      <c r="A84" s="1287" t="s">
        <v>89</v>
      </c>
      <c r="B84" s="1318"/>
      <c r="C84" s="1274"/>
      <c r="D84" s="1331"/>
      <c r="E84" s="1278"/>
      <c r="F84" s="750">
        <v>497.8</v>
      </c>
      <c r="G84" s="730">
        <v>0.1</v>
      </c>
      <c r="H84" s="1094">
        <v>-1.4</v>
      </c>
      <c r="I84" s="896">
        <v>0.17</v>
      </c>
      <c r="J84" s="1335">
        <v>2</v>
      </c>
      <c r="K84" s="1311">
        <v>43733</v>
      </c>
      <c r="L84" s="1334" t="s">
        <v>560</v>
      </c>
      <c r="M84" s="356"/>
      <c r="N84" s="325"/>
      <c r="O84" s="1095"/>
      <c r="P84" s="310"/>
      <c r="Q84" s="333"/>
      <c r="R84" s="334"/>
      <c r="S84" s="334"/>
      <c r="T84" s="1096"/>
      <c r="U84" s="334"/>
      <c r="V84" s="334"/>
      <c r="W84" s="334"/>
      <c r="X84" s="334"/>
      <c r="Y84" s="334"/>
      <c r="Z84" s="334"/>
      <c r="AA84" s="334"/>
      <c r="AB84" s="334"/>
      <c r="AC84" s="334"/>
      <c r="AD84" s="310"/>
      <c r="AV84" s="310"/>
      <c r="AW84" s="310"/>
      <c r="AX84" s="310"/>
      <c r="AY84" s="310"/>
      <c r="AZ84" s="310"/>
      <c r="BA84" s="310"/>
      <c r="BB84" s="310"/>
      <c r="BC84" s="310"/>
      <c r="BD84" s="310"/>
      <c r="BE84" s="310"/>
      <c r="BF84" s="310"/>
    </row>
    <row r="85" spans="1:58" ht="30" customHeight="1" x14ac:dyDescent="0.2">
      <c r="A85" s="1285"/>
      <c r="B85" s="1319"/>
      <c r="C85" s="1274"/>
      <c r="D85" s="1331"/>
      <c r="E85" s="1278"/>
      <c r="F85" s="733">
        <v>698.2</v>
      </c>
      <c r="G85" s="747">
        <v>0.1</v>
      </c>
      <c r="H85" s="774">
        <v>-0.92</v>
      </c>
      <c r="I85" s="894">
        <v>0.11</v>
      </c>
      <c r="J85" s="1308">
        <v>2</v>
      </c>
      <c r="K85" s="1312">
        <v>42671</v>
      </c>
      <c r="L85" s="1292" t="s">
        <v>356</v>
      </c>
      <c r="M85" s="356"/>
      <c r="N85" s="325"/>
      <c r="O85" s="1095"/>
      <c r="P85" s="310"/>
      <c r="Q85" s="333"/>
      <c r="R85" s="334"/>
      <c r="S85" s="334"/>
      <c r="T85" s="1096"/>
      <c r="U85" s="334"/>
      <c r="V85" s="334"/>
      <c r="W85" s="334"/>
      <c r="X85" s="334"/>
      <c r="Y85" s="334"/>
      <c r="Z85" s="334"/>
      <c r="AA85" s="334"/>
      <c r="AB85" s="334"/>
      <c r="AC85" s="334"/>
      <c r="AD85" s="310"/>
      <c r="AV85" s="310"/>
      <c r="AW85" s="310"/>
      <c r="AX85" s="310"/>
      <c r="AY85" s="310"/>
      <c r="AZ85" s="310"/>
      <c r="BA85" s="310"/>
      <c r="BB85" s="310"/>
      <c r="BC85" s="310"/>
      <c r="BD85" s="310"/>
      <c r="BE85" s="310"/>
      <c r="BF85" s="310"/>
    </row>
    <row r="86" spans="1:58" ht="30" customHeight="1" thickBot="1" x14ac:dyDescent="0.25">
      <c r="A86" s="1289"/>
      <c r="B86" s="1320"/>
      <c r="C86" s="1303"/>
      <c r="D86" s="1339"/>
      <c r="E86" s="1305"/>
      <c r="F86" s="744">
        <v>1098.8</v>
      </c>
      <c r="G86" s="745">
        <v>0.1</v>
      </c>
      <c r="H86" s="749">
        <v>-0.68</v>
      </c>
      <c r="I86" s="895">
        <v>0.28999999999999998</v>
      </c>
      <c r="J86" s="1310"/>
      <c r="K86" s="1313"/>
      <c r="L86" s="1333"/>
      <c r="M86" s="356"/>
      <c r="N86" s="356"/>
      <c r="O86" s="1095"/>
      <c r="P86" s="310"/>
      <c r="Q86" s="333"/>
      <c r="R86" s="334"/>
      <c r="S86" s="334"/>
      <c r="T86" s="1096"/>
      <c r="U86" s="334"/>
      <c r="V86" s="334"/>
      <c r="W86" s="334"/>
      <c r="X86" s="334"/>
      <c r="Y86" s="334"/>
      <c r="Z86" s="334"/>
      <c r="AA86" s="334"/>
      <c r="AB86" s="334"/>
      <c r="AC86" s="334"/>
      <c r="AD86" s="310"/>
      <c r="AV86" s="310"/>
      <c r="AW86" s="310"/>
      <c r="AX86" s="310"/>
      <c r="AY86" s="310"/>
      <c r="AZ86" s="310"/>
      <c r="BA86" s="310"/>
      <c r="BB86" s="310"/>
      <c r="BC86" s="310"/>
      <c r="BD86" s="310"/>
      <c r="BE86" s="310"/>
      <c r="BF86" s="310"/>
    </row>
    <row r="87" spans="1:58" ht="30" customHeight="1" x14ac:dyDescent="0.2">
      <c r="A87" s="310"/>
      <c r="B87" s="421"/>
      <c r="C87" s="310"/>
      <c r="D87" s="310"/>
      <c r="E87" s="325"/>
      <c r="F87" s="325"/>
      <c r="G87" s="325"/>
      <c r="H87" s="325"/>
      <c r="I87" s="325"/>
      <c r="J87" s="325"/>
      <c r="K87" s="325"/>
      <c r="L87" s="325"/>
      <c r="M87" s="356"/>
      <c r="N87" s="356"/>
      <c r="O87" s="1095"/>
      <c r="P87" s="310"/>
      <c r="Q87" s="333"/>
      <c r="R87" s="334"/>
      <c r="S87" s="334"/>
      <c r="T87" s="1096"/>
      <c r="U87" s="334"/>
      <c r="V87" s="334"/>
      <c r="W87" s="334"/>
      <c r="X87" s="334"/>
      <c r="Y87" s="334"/>
      <c r="Z87" s="334"/>
      <c r="AA87" s="334"/>
      <c r="AB87" s="334"/>
      <c r="AC87" s="334"/>
      <c r="AD87" s="310"/>
      <c r="AV87" s="310"/>
      <c r="AW87" s="310"/>
      <c r="AX87" s="310"/>
      <c r="AY87" s="310"/>
      <c r="AZ87" s="310"/>
      <c r="BA87" s="310"/>
      <c r="BB87" s="310"/>
      <c r="BC87" s="310"/>
      <c r="BD87" s="310"/>
      <c r="BE87" s="310"/>
      <c r="BF87" s="310"/>
    </row>
    <row r="88" spans="1:58" ht="30" customHeight="1" thickBot="1" x14ac:dyDescent="0.25">
      <c r="A88" s="310"/>
      <c r="B88" s="421"/>
      <c r="C88" s="379"/>
      <c r="D88" s="378"/>
      <c r="E88" s="453"/>
      <c r="F88" s="712"/>
      <c r="G88" s="712"/>
      <c r="H88" s="712"/>
      <c r="I88" s="712"/>
      <c r="J88" s="712"/>
      <c r="K88" s="454"/>
      <c r="L88" s="356"/>
      <c r="M88" s="356"/>
      <c r="N88" s="356"/>
      <c r="O88" s="1095"/>
      <c r="P88" s="310"/>
      <c r="Q88" s="333"/>
      <c r="R88" s="334"/>
      <c r="S88" s="334"/>
      <c r="T88" s="1096"/>
      <c r="U88" s="334"/>
      <c r="V88" s="334"/>
      <c r="W88" s="334"/>
      <c r="X88" s="334"/>
      <c r="Y88" s="334"/>
      <c r="Z88" s="334"/>
      <c r="AA88" s="334"/>
      <c r="AB88" s="334"/>
      <c r="AC88" s="334"/>
      <c r="AD88" s="310"/>
      <c r="AV88" s="310"/>
      <c r="AW88" s="310"/>
      <c r="AX88" s="310"/>
      <c r="AY88" s="310"/>
      <c r="AZ88" s="310"/>
      <c r="BA88" s="310"/>
      <c r="BB88" s="310"/>
      <c r="BC88" s="310"/>
      <c r="BD88" s="310"/>
      <c r="BE88" s="310"/>
      <c r="BF88" s="310"/>
    </row>
    <row r="89" spans="1:58" ht="30" customHeight="1" x14ac:dyDescent="0.2">
      <c r="A89" s="1328" t="s">
        <v>31</v>
      </c>
      <c r="B89" s="1329"/>
      <c r="C89" s="1355" t="s">
        <v>358</v>
      </c>
      <c r="D89" s="1329" t="s">
        <v>275</v>
      </c>
      <c r="E89" s="1306" t="s">
        <v>520</v>
      </c>
      <c r="F89" s="729">
        <v>15.5</v>
      </c>
      <c r="G89" s="730">
        <v>0.1</v>
      </c>
      <c r="H89" s="731">
        <v>-0.2</v>
      </c>
      <c r="I89" s="766">
        <v>0.3</v>
      </c>
      <c r="J89" s="1398">
        <v>2</v>
      </c>
      <c r="K89" s="1356">
        <v>43599</v>
      </c>
      <c r="L89" s="1291" t="s">
        <v>506</v>
      </c>
      <c r="M89" s="356"/>
      <c r="N89" s="325"/>
      <c r="O89" s="787"/>
      <c r="P89" s="788" t="s">
        <v>3</v>
      </c>
      <c r="Q89" s="789" t="s">
        <v>351</v>
      </c>
      <c r="R89" s="789" t="s">
        <v>16</v>
      </c>
      <c r="S89" s="1293" t="s">
        <v>518</v>
      </c>
      <c r="T89" s="1369" t="s">
        <v>519</v>
      </c>
      <c r="U89" s="334"/>
      <c r="V89" s="334"/>
      <c r="W89" s="334"/>
      <c r="X89" s="334"/>
      <c r="Y89" s="334"/>
      <c r="Z89" s="334"/>
      <c r="AA89" s="334"/>
      <c r="AB89" s="334"/>
      <c r="AC89" s="334"/>
      <c r="AD89" s="310"/>
      <c r="AV89" s="310"/>
      <c r="AW89" s="310"/>
      <c r="AX89" s="310"/>
      <c r="AY89" s="310"/>
      <c r="AZ89" s="310"/>
      <c r="BA89" s="310"/>
      <c r="BB89" s="310"/>
      <c r="BC89" s="310"/>
      <c r="BD89" s="310"/>
      <c r="BE89" s="310"/>
      <c r="BF89" s="310"/>
    </row>
    <row r="90" spans="1:58" ht="30" customHeight="1" x14ac:dyDescent="0.2">
      <c r="A90" s="1330"/>
      <c r="B90" s="1331"/>
      <c r="C90" s="1278"/>
      <c r="D90" s="1331"/>
      <c r="E90" s="1277"/>
      <c r="F90" s="733">
        <v>24.6</v>
      </c>
      <c r="G90" s="747">
        <v>0.1</v>
      </c>
      <c r="H90" s="743">
        <v>0.1</v>
      </c>
      <c r="I90" s="767">
        <v>0.3</v>
      </c>
      <c r="J90" s="1364"/>
      <c r="K90" s="1312"/>
      <c r="L90" s="1292"/>
      <c r="M90" s="356"/>
      <c r="N90" s="325"/>
      <c r="O90" s="1314" t="s">
        <v>359</v>
      </c>
      <c r="P90" s="792">
        <f>MAX(I89:I91)</f>
        <v>0.3</v>
      </c>
      <c r="Q90" s="892">
        <f>MAX(I92:I94)</f>
        <v>1.7</v>
      </c>
      <c r="R90" s="892">
        <f>MAX(I95:I97)</f>
        <v>0.34</v>
      </c>
      <c r="S90" s="1294"/>
      <c r="T90" s="1370"/>
      <c r="U90" s="334"/>
      <c r="V90" s="334"/>
      <c r="W90" s="334"/>
      <c r="X90" s="334"/>
      <c r="Y90" s="334"/>
      <c r="Z90" s="334"/>
      <c r="AA90" s="334"/>
      <c r="AB90" s="334"/>
      <c r="AC90" s="334"/>
      <c r="AD90" s="310"/>
      <c r="AV90" s="310"/>
      <c r="AW90" s="310"/>
      <c r="AX90" s="310"/>
      <c r="AY90" s="310"/>
      <c r="AZ90" s="310"/>
      <c r="BA90" s="310"/>
      <c r="BB90" s="310"/>
      <c r="BC90" s="310"/>
      <c r="BD90" s="310"/>
      <c r="BE90" s="310"/>
      <c r="BF90" s="310"/>
    </row>
    <row r="91" spans="1:58" ht="30" customHeight="1" thickBot="1" x14ac:dyDescent="0.25">
      <c r="A91" s="1330"/>
      <c r="B91" s="1331"/>
      <c r="C91" s="1278"/>
      <c r="D91" s="1331"/>
      <c r="E91" s="1277"/>
      <c r="F91" s="737">
        <v>29.2</v>
      </c>
      <c r="G91" s="745">
        <v>0.1</v>
      </c>
      <c r="H91" s="768">
        <v>0.3</v>
      </c>
      <c r="I91" s="769">
        <v>0.3</v>
      </c>
      <c r="J91" s="1364">
        <v>1.96</v>
      </c>
      <c r="K91" s="1312"/>
      <c r="L91" s="1292"/>
      <c r="M91" s="356"/>
      <c r="N91" s="325"/>
      <c r="O91" s="1315"/>
      <c r="P91" s="893"/>
      <c r="Q91" s="786"/>
      <c r="R91" s="786"/>
      <c r="S91" s="1295"/>
      <c r="T91" s="1371"/>
      <c r="U91" s="334"/>
      <c r="V91" s="334"/>
      <c r="W91" s="334"/>
      <c r="X91" s="334"/>
      <c r="Y91" s="334"/>
      <c r="Z91" s="334"/>
      <c r="AA91" s="334"/>
      <c r="AB91" s="334"/>
      <c r="AC91" s="334"/>
      <c r="AD91" s="310"/>
      <c r="AV91" s="310"/>
      <c r="AW91" s="310"/>
      <c r="AX91" s="310"/>
      <c r="AY91" s="310"/>
      <c r="AZ91" s="310"/>
      <c r="BA91" s="310"/>
      <c r="BB91" s="310"/>
      <c r="BC91" s="310"/>
      <c r="BD91" s="310"/>
      <c r="BE91" s="310"/>
      <c r="BF91" s="310"/>
    </row>
    <row r="92" spans="1:58" ht="30" customHeight="1" x14ac:dyDescent="0.2">
      <c r="A92" s="1316" t="s">
        <v>349</v>
      </c>
      <c r="B92" s="1317"/>
      <c r="C92" s="1278"/>
      <c r="D92" s="1331"/>
      <c r="E92" s="1277"/>
      <c r="F92" s="729">
        <v>33.6</v>
      </c>
      <c r="G92" s="730">
        <v>0.1</v>
      </c>
      <c r="H92" s="730">
        <v>-3.6</v>
      </c>
      <c r="I92" s="770">
        <v>1.7</v>
      </c>
      <c r="J92" s="1363">
        <v>2</v>
      </c>
      <c r="K92" s="1311">
        <v>43600</v>
      </c>
      <c r="L92" s="1338" t="s">
        <v>507</v>
      </c>
      <c r="M92" s="356"/>
      <c r="N92" s="325"/>
      <c r="O92" s="1095"/>
      <c r="P92" s="310"/>
      <c r="Q92" s="333"/>
      <c r="R92" s="334"/>
      <c r="S92" s="334"/>
      <c r="T92" s="1096"/>
      <c r="U92" s="334"/>
      <c r="V92" s="334"/>
      <c r="W92" s="334"/>
      <c r="X92" s="334"/>
      <c r="Y92" s="334"/>
      <c r="Z92" s="334"/>
      <c r="AA92" s="334"/>
      <c r="AB92" s="334"/>
      <c r="AC92" s="334"/>
      <c r="AD92" s="310"/>
      <c r="AV92" s="310"/>
      <c r="AW92" s="310"/>
      <c r="AX92" s="310"/>
      <c r="AY92" s="310"/>
      <c r="AZ92" s="310"/>
      <c r="BA92" s="310"/>
      <c r="BB92" s="310"/>
      <c r="BC92" s="310"/>
      <c r="BD92" s="310"/>
      <c r="BE92" s="310"/>
      <c r="BF92" s="310"/>
    </row>
    <row r="93" spans="1:58" ht="30" customHeight="1" x14ac:dyDescent="0.2">
      <c r="A93" s="1316"/>
      <c r="B93" s="1317"/>
      <c r="C93" s="1278"/>
      <c r="D93" s="1331"/>
      <c r="E93" s="1277"/>
      <c r="F93" s="733">
        <v>51.2</v>
      </c>
      <c r="G93" s="747">
        <v>0.1</v>
      </c>
      <c r="H93" s="747">
        <v>-1.2</v>
      </c>
      <c r="I93" s="771">
        <v>1.7</v>
      </c>
      <c r="J93" s="1364">
        <v>1.96</v>
      </c>
      <c r="K93" s="1312"/>
      <c r="L93" s="1292"/>
      <c r="M93" s="356"/>
      <c r="N93" s="325"/>
      <c r="O93" s="1095"/>
      <c r="P93" s="310"/>
      <c r="Q93" s="333"/>
      <c r="R93" s="334"/>
      <c r="S93" s="334"/>
      <c r="T93" s="1096"/>
      <c r="U93" s="334"/>
      <c r="V93" s="334"/>
      <c r="W93" s="334"/>
      <c r="X93" s="334"/>
      <c r="Y93" s="334"/>
      <c r="Z93" s="334"/>
      <c r="AA93" s="334"/>
      <c r="AB93" s="334"/>
      <c r="AC93" s="334"/>
      <c r="AD93" s="310"/>
      <c r="AV93" s="310"/>
      <c r="AW93" s="310"/>
      <c r="AX93" s="310"/>
      <c r="AY93" s="310"/>
      <c r="AZ93" s="310"/>
      <c r="BA93" s="310"/>
      <c r="BB93" s="310"/>
      <c r="BC93" s="310"/>
      <c r="BD93" s="310"/>
      <c r="BE93" s="310"/>
      <c r="BF93" s="310"/>
    </row>
    <row r="94" spans="1:58" ht="30" customHeight="1" thickBot="1" x14ac:dyDescent="0.25">
      <c r="A94" s="1316"/>
      <c r="B94" s="1317"/>
      <c r="C94" s="1278"/>
      <c r="D94" s="1331"/>
      <c r="E94" s="1277"/>
      <c r="F94" s="744">
        <v>68.5</v>
      </c>
      <c r="G94" s="745">
        <v>0.1</v>
      </c>
      <c r="H94" s="745">
        <v>1.5</v>
      </c>
      <c r="I94" s="772">
        <v>1.7</v>
      </c>
      <c r="J94" s="1364"/>
      <c r="K94" s="1312"/>
      <c r="L94" s="1292"/>
      <c r="M94" s="356"/>
      <c r="N94" s="325"/>
      <c r="O94" s="1095"/>
      <c r="P94" s="310"/>
      <c r="Q94" s="333"/>
      <c r="R94" s="334"/>
      <c r="S94" s="334"/>
      <c r="T94" s="1096"/>
      <c r="U94" s="334"/>
      <c r="V94" s="334"/>
      <c r="W94" s="334"/>
      <c r="X94" s="334"/>
      <c r="Y94" s="334"/>
      <c r="Z94" s="334"/>
      <c r="AA94" s="334"/>
      <c r="AB94" s="334"/>
      <c r="AC94" s="334"/>
      <c r="AD94" s="310"/>
      <c r="AV94" s="310"/>
      <c r="AW94" s="310"/>
      <c r="AX94" s="310"/>
      <c r="AY94" s="310"/>
      <c r="AZ94" s="310"/>
      <c r="BA94" s="310"/>
      <c r="BB94" s="310"/>
      <c r="BC94" s="310"/>
      <c r="BD94" s="310"/>
      <c r="BE94" s="310"/>
      <c r="BF94" s="310"/>
    </row>
    <row r="95" spans="1:58" ht="30" customHeight="1" x14ac:dyDescent="0.2">
      <c r="A95" s="1316" t="s">
        <v>89</v>
      </c>
      <c r="B95" s="1317"/>
      <c r="C95" s="1278"/>
      <c r="D95" s="1331"/>
      <c r="E95" s="1278"/>
      <c r="F95" s="729">
        <v>698.3</v>
      </c>
      <c r="G95" s="730">
        <v>0.1</v>
      </c>
      <c r="H95" s="730">
        <v>-0.92</v>
      </c>
      <c r="I95" s="773">
        <v>0.11</v>
      </c>
      <c r="J95" s="1360">
        <v>2</v>
      </c>
      <c r="K95" s="1311">
        <v>43600</v>
      </c>
      <c r="L95" s="1334" t="s">
        <v>508</v>
      </c>
      <c r="M95" s="356"/>
      <c r="N95" s="325"/>
      <c r="O95" s="1095"/>
      <c r="P95" s="310"/>
      <c r="Q95" s="333"/>
      <c r="R95" s="334"/>
      <c r="S95" s="334"/>
      <c r="T95" s="1096"/>
      <c r="U95" s="334"/>
      <c r="V95" s="334"/>
      <c r="W95" s="334"/>
      <c r="X95" s="334"/>
      <c r="Y95" s="334"/>
      <c r="Z95" s="334"/>
      <c r="AA95" s="334"/>
      <c r="AB95" s="334"/>
      <c r="AC95" s="334"/>
      <c r="AD95" s="310"/>
      <c r="AV95" s="310"/>
      <c r="AW95" s="310"/>
      <c r="AX95" s="310"/>
      <c r="AY95" s="310"/>
      <c r="AZ95" s="310"/>
      <c r="BA95" s="310"/>
      <c r="BB95" s="310"/>
      <c r="BC95" s="310"/>
      <c r="BD95" s="310"/>
      <c r="BE95" s="310"/>
      <c r="BF95" s="310"/>
    </row>
    <row r="96" spans="1:58" ht="30" customHeight="1" x14ac:dyDescent="0.2">
      <c r="A96" s="1316"/>
      <c r="B96" s="1317"/>
      <c r="C96" s="1278"/>
      <c r="D96" s="1331"/>
      <c r="E96" s="1278"/>
      <c r="F96" s="733">
        <v>798.4</v>
      </c>
      <c r="G96" s="747">
        <v>0.1</v>
      </c>
      <c r="H96" s="774">
        <v>-0.82099999999999995</v>
      </c>
      <c r="I96" s="763">
        <v>8.7999999999999995E-2</v>
      </c>
      <c r="J96" s="1361">
        <v>2</v>
      </c>
      <c r="K96" s="1312">
        <v>42625</v>
      </c>
      <c r="L96" s="1292" t="s">
        <v>318</v>
      </c>
      <c r="M96" s="356"/>
      <c r="N96" s="325"/>
      <c r="O96" s="1095"/>
      <c r="P96" s="310"/>
      <c r="Q96" s="333"/>
      <c r="R96" s="334"/>
      <c r="S96" s="334"/>
      <c r="T96" s="1096"/>
      <c r="U96" s="334"/>
      <c r="V96" s="334"/>
      <c r="W96" s="334"/>
      <c r="X96" s="334"/>
      <c r="Y96" s="334"/>
      <c r="Z96" s="334"/>
      <c r="AA96" s="334"/>
      <c r="AB96" s="334"/>
      <c r="AC96" s="334"/>
      <c r="AD96" s="310"/>
      <c r="AV96" s="310"/>
      <c r="AW96" s="310"/>
      <c r="AX96" s="310"/>
      <c r="AY96" s="310"/>
      <c r="AZ96" s="310"/>
      <c r="BA96" s="310"/>
      <c r="BB96" s="310"/>
      <c r="BC96" s="310"/>
      <c r="BD96" s="310"/>
      <c r="BE96" s="310"/>
      <c r="BF96" s="310"/>
    </row>
    <row r="97" spans="1:58" ht="30" customHeight="1" thickBot="1" x14ac:dyDescent="0.25">
      <c r="A97" s="1336"/>
      <c r="B97" s="1337"/>
      <c r="C97" s="1305"/>
      <c r="D97" s="1339"/>
      <c r="E97" s="1305"/>
      <c r="F97" s="744">
        <v>848.7</v>
      </c>
      <c r="G97" s="745">
        <v>0.1</v>
      </c>
      <c r="H97" s="745">
        <v>-0.75</v>
      </c>
      <c r="I97" s="765">
        <v>0.34</v>
      </c>
      <c r="J97" s="1362"/>
      <c r="K97" s="1313"/>
      <c r="L97" s="1333"/>
      <c r="M97" s="356"/>
      <c r="N97" s="325"/>
      <c r="O97" s="1095"/>
      <c r="P97" s="310"/>
      <c r="Q97" s="333"/>
      <c r="R97" s="334"/>
      <c r="S97" s="334"/>
      <c r="T97" s="1096"/>
      <c r="U97" s="334"/>
      <c r="V97" s="334"/>
      <c r="W97" s="334"/>
      <c r="X97" s="334"/>
      <c r="Y97" s="334"/>
      <c r="Z97" s="334"/>
      <c r="AA97" s="334"/>
      <c r="AB97" s="334"/>
      <c r="AC97" s="334"/>
      <c r="AD97" s="310"/>
      <c r="AV97" s="310"/>
      <c r="AW97" s="310"/>
      <c r="AX97" s="310"/>
      <c r="AY97" s="310"/>
      <c r="AZ97" s="310"/>
      <c r="BA97" s="310"/>
      <c r="BB97" s="310"/>
      <c r="BC97" s="310"/>
      <c r="BD97" s="310"/>
      <c r="BE97" s="310"/>
      <c r="BF97" s="310"/>
    </row>
    <row r="98" spans="1:58" ht="30" customHeight="1" x14ac:dyDescent="0.2">
      <c r="A98" s="310"/>
      <c r="B98" s="421"/>
      <c r="C98" s="310"/>
      <c r="D98" s="310"/>
      <c r="E98" s="325"/>
      <c r="F98" s="325"/>
      <c r="G98" s="325"/>
      <c r="H98" s="325"/>
      <c r="I98" s="325"/>
      <c r="J98" s="325"/>
      <c r="K98" s="325"/>
      <c r="L98" s="325"/>
      <c r="M98" s="356"/>
      <c r="N98" s="325"/>
      <c r="O98" s="1095"/>
      <c r="P98" s="310"/>
      <c r="Q98" s="333"/>
      <c r="R98" s="334"/>
      <c r="S98" s="334"/>
      <c r="T98" s="1096"/>
      <c r="U98" s="334"/>
      <c r="V98" s="334"/>
      <c r="W98" s="334"/>
      <c r="X98" s="334"/>
      <c r="Y98" s="334"/>
      <c r="Z98" s="334"/>
      <c r="AA98" s="334"/>
      <c r="AB98" s="334"/>
      <c r="AC98" s="334"/>
      <c r="AD98" s="310"/>
      <c r="AV98" s="310"/>
      <c r="AW98" s="310"/>
      <c r="AX98" s="310"/>
      <c r="AY98" s="310"/>
      <c r="AZ98" s="310"/>
      <c r="BA98" s="310"/>
      <c r="BB98" s="310"/>
      <c r="BC98" s="310"/>
      <c r="BD98" s="310"/>
      <c r="BE98" s="310"/>
      <c r="BF98" s="310"/>
    </row>
    <row r="99" spans="1:58" ht="30" customHeight="1" thickBot="1" x14ac:dyDescent="0.25">
      <c r="A99" s="310"/>
      <c r="B99" s="421"/>
      <c r="C99" s="379"/>
      <c r="D99" s="378"/>
      <c r="E99" s="453"/>
      <c r="F99" s="712"/>
      <c r="G99" s="712"/>
      <c r="H99" s="712"/>
      <c r="I99" s="712"/>
      <c r="J99" s="712"/>
      <c r="K99" s="454"/>
      <c r="L99" s="356"/>
      <c r="M99" s="356"/>
      <c r="N99" s="325"/>
      <c r="O99" s="1095"/>
      <c r="P99" s="310"/>
      <c r="Q99" s="333"/>
      <c r="R99" s="334"/>
      <c r="S99" s="334"/>
      <c r="T99" s="1096"/>
      <c r="U99" s="334"/>
      <c r="V99" s="334"/>
      <c r="W99" s="334"/>
      <c r="X99" s="334"/>
      <c r="Y99" s="334"/>
      <c r="Z99" s="334"/>
      <c r="AA99" s="334"/>
      <c r="AB99" s="334"/>
      <c r="AC99" s="334"/>
      <c r="AD99" s="310"/>
      <c r="AV99" s="310"/>
      <c r="AW99" s="310"/>
      <c r="AX99" s="310"/>
      <c r="AY99" s="310"/>
      <c r="AZ99" s="310"/>
      <c r="BA99" s="310"/>
      <c r="BB99" s="310"/>
      <c r="BC99" s="310"/>
      <c r="BD99" s="310"/>
      <c r="BE99" s="310"/>
      <c r="BF99" s="310"/>
    </row>
    <row r="100" spans="1:58" ht="30" customHeight="1" x14ac:dyDescent="0.2">
      <c r="A100" s="1328" t="s">
        <v>31</v>
      </c>
      <c r="B100" s="1329"/>
      <c r="C100" s="1357" t="s">
        <v>360</v>
      </c>
      <c r="D100" s="1329" t="s">
        <v>275</v>
      </c>
      <c r="E100" s="1378" t="s">
        <v>361</v>
      </c>
      <c r="F100" s="729">
        <v>15.4</v>
      </c>
      <c r="G100" s="730">
        <v>0.1</v>
      </c>
      <c r="H100" s="731">
        <v>-0.1</v>
      </c>
      <c r="I100" s="775">
        <v>0.3</v>
      </c>
      <c r="J100" s="1307">
        <v>2</v>
      </c>
      <c r="K100" s="1356">
        <v>43599</v>
      </c>
      <c r="L100" s="1291" t="s">
        <v>509</v>
      </c>
      <c r="M100" s="356"/>
      <c r="N100" s="325"/>
      <c r="O100" s="787"/>
      <c r="P100" s="788" t="s">
        <v>3</v>
      </c>
      <c r="Q100" s="789" t="s">
        <v>351</v>
      </c>
      <c r="R100" s="789" t="s">
        <v>16</v>
      </c>
      <c r="S100" s="1293" t="s">
        <v>521</v>
      </c>
      <c r="T100" s="1369" t="s">
        <v>522</v>
      </c>
      <c r="U100" s="334"/>
      <c r="V100" s="334"/>
      <c r="W100" s="334"/>
      <c r="X100" s="334"/>
      <c r="Y100" s="334"/>
      <c r="Z100" s="334"/>
      <c r="AA100" s="334"/>
      <c r="AB100" s="334"/>
      <c r="AC100" s="334"/>
      <c r="AD100" s="310"/>
      <c r="AV100" s="310"/>
      <c r="AW100" s="310"/>
      <c r="AX100" s="310"/>
      <c r="AY100" s="310"/>
      <c r="AZ100" s="310"/>
      <c r="BA100" s="310"/>
      <c r="BB100" s="310"/>
      <c r="BC100" s="310"/>
      <c r="BD100" s="310"/>
      <c r="BE100" s="310"/>
      <c r="BF100" s="310"/>
    </row>
    <row r="101" spans="1:58" ht="30" customHeight="1" x14ac:dyDescent="0.2">
      <c r="A101" s="1330"/>
      <c r="B101" s="1331"/>
      <c r="C101" s="1358"/>
      <c r="D101" s="1331"/>
      <c r="E101" s="1277"/>
      <c r="F101" s="742">
        <v>24.7</v>
      </c>
      <c r="G101" s="747">
        <v>0.1</v>
      </c>
      <c r="H101" s="743">
        <v>0</v>
      </c>
      <c r="I101" s="776">
        <v>0.3</v>
      </c>
      <c r="J101" s="1308"/>
      <c r="K101" s="1312"/>
      <c r="L101" s="1292"/>
      <c r="M101" s="356"/>
      <c r="N101" s="325"/>
      <c r="O101" s="1314" t="s">
        <v>364</v>
      </c>
      <c r="P101" s="792">
        <f>MAX(I100:I102)</f>
        <v>0.3</v>
      </c>
      <c r="Q101" s="892">
        <f>MAX(I103:I105)</f>
        <v>1.7</v>
      </c>
      <c r="R101" s="892">
        <f>MAX(I106:I108)</f>
        <v>0.11</v>
      </c>
      <c r="S101" s="1294"/>
      <c r="T101" s="1370"/>
      <c r="U101" s="334"/>
      <c r="V101" s="334"/>
      <c r="W101" s="334"/>
      <c r="X101" s="334"/>
      <c r="Y101" s="334"/>
      <c r="Z101" s="334"/>
      <c r="AA101" s="334"/>
      <c r="AB101" s="334"/>
      <c r="AC101" s="334"/>
      <c r="AD101" s="310"/>
      <c r="AV101" s="310"/>
      <c r="AW101" s="310"/>
      <c r="AX101" s="310"/>
      <c r="AY101" s="310"/>
      <c r="AZ101" s="310"/>
      <c r="BA101" s="310"/>
      <c r="BB101" s="310"/>
      <c r="BC101" s="310"/>
      <c r="BD101" s="310"/>
      <c r="BE101" s="310"/>
      <c r="BF101" s="310"/>
    </row>
    <row r="102" spans="1:58" ht="30" customHeight="1" thickBot="1" x14ac:dyDescent="0.25">
      <c r="A102" s="1330"/>
      <c r="B102" s="1331"/>
      <c r="C102" s="1358"/>
      <c r="D102" s="1331"/>
      <c r="E102" s="1277"/>
      <c r="F102" s="737">
        <v>29.4</v>
      </c>
      <c r="G102" s="745">
        <v>0.1</v>
      </c>
      <c r="H102" s="768">
        <v>0.1</v>
      </c>
      <c r="I102" s="777">
        <v>0.3</v>
      </c>
      <c r="J102" s="1308"/>
      <c r="K102" s="1312"/>
      <c r="L102" s="1292"/>
      <c r="M102" s="356"/>
      <c r="N102" s="325"/>
      <c r="O102" s="1315"/>
      <c r="P102" s="893"/>
      <c r="Q102" s="786"/>
      <c r="R102" s="786"/>
      <c r="S102" s="1295"/>
      <c r="T102" s="1371"/>
      <c r="U102" s="334"/>
      <c r="V102" s="334"/>
      <c r="W102" s="334"/>
      <c r="X102" s="334"/>
      <c r="Y102" s="334"/>
      <c r="Z102" s="334"/>
      <c r="AA102" s="334"/>
      <c r="AB102" s="334"/>
      <c r="AC102" s="334"/>
      <c r="AD102" s="310"/>
      <c r="AV102" s="310"/>
      <c r="AW102" s="310"/>
      <c r="AX102" s="310"/>
      <c r="AY102" s="310"/>
      <c r="AZ102" s="310"/>
      <c r="BA102" s="310"/>
      <c r="BB102" s="310"/>
      <c r="BC102" s="310"/>
      <c r="BD102" s="310"/>
      <c r="BE102" s="310"/>
      <c r="BF102" s="310"/>
    </row>
    <row r="103" spans="1:58" ht="30" customHeight="1" x14ac:dyDescent="0.2">
      <c r="A103" s="1316" t="s">
        <v>349</v>
      </c>
      <c r="B103" s="1317"/>
      <c r="C103" s="1358"/>
      <c r="D103" s="1331"/>
      <c r="E103" s="1277"/>
      <c r="F103" s="729">
        <v>33.6</v>
      </c>
      <c r="G103" s="730">
        <v>0.1</v>
      </c>
      <c r="H103" s="730">
        <v>-3.6</v>
      </c>
      <c r="I103" s="770">
        <v>1.7</v>
      </c>
      <c r="J103" s="1335">
        <v>2</v>
      </c>
      <c r="K103" s="1311">
        <v>43600</v>
      </c>
      <c r="L103" s="1338" t="s">
        <v>510</v>
      </c>
      <c r="M103" s="356"/>
      <c r="N103" s="325"/>
      <c r="O103" s="1095"/>
      <c r="P103" s="310"/>
      <c r="Q103" s="333"/>
      <c r="R103" s="334"/>
      <c r="S103" s="334"/>
      <c r="T103" s="1096"/>
      <c r="U103" s="334"/>
      <c r="V103" s="334"/>
      <c r="W103" s="334"/>
      <c r="X103" s="334"/>
      <c r="Y103" s="334"/>
      <c r="Z103" s="334"/>
      <c r="AA103" s="334"/>
      <c r="AB103" s="334"/>
      <c r="AC103" s="334"/>
      <c r="AD103" s="310"/>
      <c r="AV103" s="310"/>
      <c r="AW103" s="310"/>
      <c r="AX103" s="310"/>
      <c r="AY103" s="310"/>
      <c r="AZ103" s="310"/>
      <c r="BA103" s="310"/>
      <c r="BB103" s="310"/>
      <c r="BC103" s="310"/>
      <c r="BD103" s="310"/>
      <c r="BE103" s="310"/>
      <c r="BF103" s="310"/>
    </row>
    <row r="104" spans="1:58" ht="30" customHeight="1" x14ac:dyDescent="0.2">
      <c r="A104" s="1316"/>
      <c r="B104" s="1317"/>
      <c r="C104" s="1358"/>
      <c r="D104" s="1331"/>
      <c r="E104" s="1277"/>
      <c r="F104" s="733">
        <v>51.2</v>
      </c>
      <c r="G104" s="747">
        <v>0.1</v>
      </c>
      <c r="H104" s="747">
        <v>-1.2</v>
      </c>
      <c r="I104" s="778">
        <v>1.7</v>
      </c>
      <c r="J104" s="1308"/>
      <c r="K104" s="1312"/>
      <c r="L104" s="1292"/>
      <c r="M104" s="356"/>
      <c r="N104" s="325"/>
      <c r="O104" s="1095"/>
      <c r="P104" s="310"/>
      <c r="Q104" s="333"/>
      <c r="R104" s="334"/>
      <c r="S104" s="334"/>
      <c r="T104" s="1096"/>
      <c r="U104" s="334"/>
      <c r="V104" s="334"/>
      <c r="W104" s="334"/>
      <c r="X104" s="334"/>
      <c r="Y104" s="334"/>
      <c r="Z104" s="334"/>
      <c r="AA104" s="334"/>
      <c r="AB104" s="334"/>
      <c r="AC104" s="334"/>
      <c r="AD104" s="310"/>
      <c r="AV104" s="310"/>
      <c r="AW104" s="310"/>
      <c r="AX104" s="310"/>
      <c r="AY104" s="310"/>
      <c r="AZ104" s="310"/>
      <c r="BA104" s="310"/>
      <c r="BB104" s="310"/>
      <c r="BC104" s="310"/>
      <c r="BD104" s="310"/>
      <c r="BE104" s="310"/>
      <c r="BF104" s="310"/>
    </row>
    <row r="105" spans="1:58" ht="30" customHeight="1" thickBot="1" x14ac:dyDescent="0.25">
      <c r="A105" s="1316"/>
      <c r="B105" s="1317"/>
      <c r="C105" s="1358"/>
      <c r="D105" s="1331"/>
      <c r="E105" s="1277"/>
      <c r="F105" s="744">
        <v>68.3</v>
      </c>
      <c r="G105" s="745">
        <v>0.1</v>
      </c>
      <c r="H105" s="745">
        <v>1.7</v>
      </c>
      <c r="I105" s="779">
        <v>1.7</v>
      </c>
      <c r="J105" s="1308"/>
      <c r="K105" s="1312"/>
      <c r="L105" s="1292"/>
      <c r="M105" s="356"/>
      <c r="N105" s="325"/>
      <c r="O105" s="1095"/>
      <c r="P105" s="310"/>
      <c r="Q105" s="333"/>
      <c r="R105" s="334"/>
      <c r="S105" s="334"/>
      <c r="T105" s="1096"/>
      <c r="U105" s="334"/>
      <c r="V105" s="334"/>
      <c r="W105" s="334"/>
      <c r="X105" s="334"/>
      <c r="Y105" s="334"/>
      <c r="Z105" s="334"/>
      <c r="AA105" s="334"/>
      <c r="AB105" s="334"/>
      <c r="AC105" s="334"/>
      <c r="AD105" s="310"/>
      <c r="AV105" s="310"/>
      <c r="AW105" s="310"/>
      <c r="AX105" s="310"/>
      <c r="AY105" s="310"/>
      <c r="AZ105" s="310"/>
      <c r="BA105" s="310"/>
      <c r="BB105" s="310"/>
      <c r="BC105" s="310"/>
      <c r="BD105" s="310"/>
      <c r="BE105" s="310"/>
      <c r="BF105" s="310"/>
    </row>
    <row r="106" spans="1:58" ht="30" customHeight="1" x14ac:dyDescent="0.2">
      <c r="A106" s="1316" t="s">
        <v>89</v>
      </c>
      <c r="B106" s="1317"/>
      <c r="C106" s="1358"/>
      <c r="D106" s="1331"/>
      <c r="E106" s="1278"/>
      <c r="F106" s="780">
        <v>698.2</v>
      </c>
      <c r="G106" s="734">
        <v>0.1</v>
      </c>
      <c r="H106" s="734">
        <v>-0.99</v>
      </c>
      <c r="I106" s="781">
        <v>6.8000000000000005E-2</v>
      </c>
      <c r="J106" s="1360">
        <v>1.96</v>
      </c>
      <c r="K106" s="1311">
        <v>43600</v>
      </c>
      <c r="L106" s="1334" t="s">
        <v>511</v>
      </c>
      <c r="M106" s="356"/>
      <c r="N106" s="325"/>
      <c r="O106" s="1095"/>
      <c r="P106" s="310"/>
      <c r="Q106" s="333"/>
      <c r="R106" s="334"/>
      <c r="S106" s="334"/>
      <c r="T106" s="1096"/>
      <c r="U106" s="334"/>
      <c r="V106" s="334"/>
      <c r="W106" s="334"/>
      <c r="X106" s="334"/>
      <c r="Y106" s="334"/>
      <c r="Z106" s="334"/>
      <c r="AA106" s="334"/>
      <c r="AB106" s="334"/>
      <c r="AC106" s="334"/>
      <c r="AD106" s="310"/>
      <c r="AV106" s="310"/>
      <c r="AW106" s="310"/>
      <c r="AX106" s="310"/>
      <c r="AY106" s="310"/>
      <c r="AZ106" s="310"/>
      <c r="BA106" s="310"/>
      <c r="BB106" s="310"/>
      <c r="BC106" s="310"/>
      <c r="BD106" s="310"/>
      <c r="BE106" s="310"/>
      <c r="BF106" s="310"/>
    </row>
    <row r="107" spans="1:58" ht="30" customHeight="1" x14ac:dyDescent="0.2">
      <c r="A107" s="1316"/>
      <c r="B107" s="1317"/>
      <c r="C107" s="1358"/>
      <c r="D107" s="1331"/>
      <c r="E107" s="1278"/>
      <c r="F107" s="733">
        <v>751.8</v>
      </c>
      <c r="G107" s="747">
        <v>0.1</v>
      </c>
      <c r="H107" s="774">
        <v>-0.88</v>
      </c>
      <c r="I107" s="763">
        <v>8.6999999999999994E-2</v>
      </c>
      <c r="J107" s="1361">
        <v>1.96</v>
      </c>
      <c r="K107" s="1312">
        <v>42586</v>
      </c>
      <c r="L107" s="1292" t="s">
        <v>362</v>
      </c>
      <c r="M107" s="356"/>
      <c r="N107" s="325"/>
      <c r="O107" s="1095"/>
      <c r="P107" s="310"/>
      <c r="Q107" s="333"/>
      <c r="R107" s="334"/>
      <c r="S107" s="334"/>
      <c r="T107" s="1096"/>
      <c r="U107" s="334"/>
      <c r="V107" s="334"/>
      <c r="W107" s="334"/>
      <c r="X107" s="334"/>
      <c r="Y107" s="334"/>
      <c r="Z107" s="334"/>
      <c r="AA107" s="334"/>
      <c r="AB107" s="334"/>
      <c r="AC107" s="334"/>
      <c r="AD107" s="310"/>
      <c r="AV107" s="310"/>
      <c r="AW107" s="310"/>
      <c r="AX107" s="310"/>
      <c r="AY107" s="310"/>
      <c r="AZ107" s="310"/>
      <c r="BA107" s="310"/>
      <c r="BB107" s="310"/>
      <c r="BC107" s="310"/>
      <c r="BD107" s="310"/>
      <c r="BE107" s="310"/>
      <c r="BF107" s="310"/>
    </row>
    <row r="108" spans="1:58" ht="30" customHeight="1" thickBot="1" x14ac:dyDescent="0.25">
      <c r="A108" s="1336"/>
      <c r="B108" s="1337"/>
      <c r="C108" s="1359"/>
      <c r="D108" s="1339"/>
      <c r="E108" s="1305"/>
      <c r="F108" s="744">
        <v>798.4</v>
      </c>
      <c r="G108" s="745">
        <v>0.1</v>
      </c>
      <c r="H108" s="745">
        <v>-0.73</v>
      </c>
      <c r="I108" s="765">
        <v>0.11</v>
      </c>
      <c r="J108" s="1362">
        <v>2</v>
      </c>
      <c r="K108" s="1313">
        <v>42625</v>
      </c>
      <c r="L108" s="1333" t="s">
        <v>363</v>
      </c>
      <c r="M108" s="356"/>
      <c r="N108" s="325"/>
      <c r="O108" s="1097"/>
      <c r="P108" s="459"/>
      <c r="Q108" s="1098"/>
      <c r="R108" s="1099"/>
      <c r="S108" s="1099"/>
      <c r="T108" s="1100"/>
      <c r="U108" s="334"/>
      <c r="V108" s="334"/>
      <c r="W108" s="334"/>
      <c r="X108" s="334"/>
      <c r="Y108" s="334"/>
      <c r="Z108" s="334"/>
      <c r="AA108" s="334"/>
      <c r="AB108" s="334"/>
      <c r="AC108" s="334"/>
      <c r="AD108" s="310"/>
      <c r="AV108" s="310"/>
      <c r="AW108" s="310"/>
      <c r="AX108" s="310"/>
      <c r="AY108" s="310"/>
      <c r="AZ108" s="310"/>
      <c r="BA108" s="310"/>
      <c r="BB108" s="310"/>
      <c r="BC108" s="310"/>
      <c r="BD108" s="310"/>
      <c r="BE108" s="310"/>
      <c r="BF108" s="310"/>
    </row>
    <row r="109" spans="1:58" ht="30" customHeight="1" thickBot="1" x14ac:dyDescent="0.25">
      <c r="A109" s="344"/>
      <c r="B109" s="310"/>
      <c r="C109" s="324"/>
      <c r="D109" s="324"/>
      <c r="E109" s="324"/>
      <c r="F109" s="324"/>
      <c r="G109" s="324"/>
      <c r="H109" s="324"/>
      <c r="I109" s="324"/>
      <c r="J109" s="324"/>
      <c r="K109" s="365"/>
      <c r="L109" s="324"/>
      <c r="M109" s="356"/>
      <c r="N109" s="356"/>
      <c r="O109" s="377"/>
      <c r="P109" s="1382" t="s">
        <v>455</v>
      </c>
      <c r="Q109" s="1383"/>
      <c r="R109" s="1383"/>
      <c r="S109" s="1384"/>
      <c r="T109" s="334"/>
      <c r="U109" s="1367" t="s">
        <v>456</v>
      </c>
      <c r="V109" s="1368"/>
      <c r="W109" s="334"/>
      <c r="X109" s="334"/>
      <c r="Y109" s="334"/>
      <c r="Z109" s="334"/>
      <c r="AA109" s="334"/>
      <c r="AB109" s="334"/>
      <c r="AC109" s="334"/>
      <c r="AD109" s="310"/>
      <c r="AV109" s="310"/>
      <c r="AW109" s="310"/>
      <c r="AX109" s="310"/>
      <c r="AY109" s="310"/>
      <c r="AZ109" s="310"/>
      <c r="BA109" s="310"/>
      <c r="BB109" s="310"/>
      <c r="BC109" s="310"/>
      <c r="BD109" s="310"/>
      <c r="BE109" s="310"/>
      <c r="BF109" s="310"/>
    </row>
    <row r="110" spans="1:58" ht="30" customHeight="1" thickBot="1" x14ac:dyDescent="0.25">
      <c r="A110" s="344"/>
      <c r="B110" s="1326" t="s">
        <v>317</v>
      </c>
      <c r="C110" s="1327"/>
      <c r="D110" s="1327"/>
      <c r="E110" s="1327"/>
      <c r="F110" s="1327"/>
      <c r="G110" s="1327"/>
      <c r="H110" s="1327"/>
      <c r="I110" s="1327"/>
      <c r="J110" s="1327"/>
      <c r="K110" s="1327"/>
      <c r="L110" s="1327"/>
      <c r="M110" s="1327"/>
      <c r="N110" s="356"/>
      <c r="O110" s="377"/>
      <c r="P110" s="1379" t="s">
        <v>337</v>
      </c>
      <c r="Q110" s="1380"/>
      <c r="R110" s="1380"/>
      <c r="S110" s="1381"/>
      <c r="T110" s="334"/>
      <c r="U110" s="521"/>
      <c r="V110" s="522"/>
      <c r="W110" s="334"/>
      <c r="X110" s="334"/>
      <c r="Y110" s="334"/>
      <c r="Z110" s="334"/>
      <c r="AA110" s="334"/>
      <c r="AB110" s="334"/>
      <c r="AC110" s="334"/>
      <c r="AD110" s="310"/>
      <c r="AV110" s="310"/>
      <c r="AW110" s="310"/>
      <c r="AX110" s="310"/>
      <c r="AY110" s="310"/>
      <c r="AZ110" s="310"/>
      <c r="BA110" s="310"/>
      <c r="BB110" s="310"/>
      <c r="BC110" s="310"/>
      <c r="BD110" s="310"/>
      <c r="BE110" s="310"/>
      <c r="BF110" s="310"/>
    </row>
    <row r="111" spans="1:58" ht="60" customHeight="1" thickBot="1" x14ac:dyDescent="0.25">
      <c r="A111" s="344"/>
      <c r="B111" s="1343" t="s">
        <v>196</v>
      </c>
      <c r="C111" s="1143"/>
      <c r="D111" s="390" t="s">
        <v>44</v>
      </c>
      <c r="E111" s="390" t="s">
        <v>270</v>
      </c>
      <c r="F111" s="392" t="s">
        <v>269</v>
      </c>
      <c r="G111" s="392" t="s">
        <v>186</v>
      </c>
      <c r="H111" s="392" t="s">
        <v>238</v>
      </c>
      <c r="I111" s="392" t="s">
        <v>184</v>
      </c>
      <c r="J111" s="392" t="s">
        <v>239</v>
      </c>
      <c r="K111" s="393" t="s">
        <v>185</v>
      </c>
      <c r="L111" s="394" t="s">
        <v>467</v>
      </c>
      <c r="M111" s="394" t="s">
        <v>585</v>
      </c>
      <c r="N111" s="356"/>
      <c r="O111" s="377"/>
      <c r="P111" s="627" t="s">
        <v>240</v>
      </c>
      <c r="Q111" s="628" t="s">
        <v>457</v>
      </c>
      <c r="R111" s="629" t="s">
        <v>259</v>
      </c>
      <c r="S111" s="630" t="s">
        <v>4</v>
      </c>
      <c r="T111" s="334"/>
      <c r="U111" s="1365" t="s">
        <v>242</v>
      </c>
      <c r="V111" s="1366"/>
      <c r="W111" s="334"/>
      <c r="X111" s="334"/>
      <c r="Y111" s="334"/>
      <c r="Z111" s="334"/>
      <c r="AA111" s="334"/>
      <c r="AB111" s="334"/>
      <c r="AC111" s="334"/>
      <c r="AD111" s="310"/>
      <c r="AV111" s="310"/>
      <c r="AW111" s="310"/>
      <c r="AX111" s="310"/>
      <c r="AY111" s="310"/>
      <c r="AZ111" s="310"/>
      <c r="BA111" s="310"/>
      <c r="BB111" s="310"/>
      <c r="BC111" s="310"/>
      <c r="BD111" s="310"/>
      <c r="BE111" s="310"/>
      <c r="BF111" s="310"/>
    </row>
    <row r="112" spans="1:58" ht="30" customHeight="1" thickBot="1" x14ac:dyDescent="0.25">
      <c r="A112" s="344"/>
      <c r="B112" s="1344"/>
      <c r="C112" s="1144"/>
      <c r="D112" s="340"/>
      <c r="E112" s="366"/>
      <c r="F112" s="366"/>
      <c r="G112" s="366"/>
      <c r="H112" s="366"/>
      <c r="I112" s="366"/>
      <c r="J112" s="366"/>
      <c r="K112" s="388"/>
      <c r="L112" s="388"/>
      <c r="M112" s="1145"/>
      <c r="N112" s="356"/>
      <c r="O112" s="377"/>
      <c r="P112" s="332"/>
      <c r="Q112" s="711"/>
      <c r="R112" s="711"/>
      <c r="S112" s="355"/>
      <c r="T112" s="334"/>
      <c r="U112" s="625" t="s">
        <v>407</v>
      </c>
      <c r="V112" s="626"/>
      <c r="AA112" s="334"/>
      <c r="AB112" s="334"/>
      <c r="AC112" s="334"/>
      <c r="AD112" s="310"/>
      <c r="AV112" s="310"/>
      <c r="AW112" s="310"/>
      <c r="AX112" s="310"/>
      <c r="AY112" s="310"/>
      <c r="AZ112" s="310"/>
      <c r="BA112" s="310"/>
      <c r="BB112" s="310"/>
      <c r="BC112" s="310"/>
      <c r="BD112" s="310"/>
      <c r="BE112" s="310"/>
      <c r="BF112" s="310"/>
    </row>
    <row r="113" spans="1:58" ht="30" customHeight="1" x14ac:dyDescent="0.2">
      <c r="A113" s="344"/>
      <c r="B113" s="1346"/>
      <c r="C113" s="586" t="s">
        <v>225</v>
      </c>
      <c r="D113" s="587" t="s">
        <v>402</v>
      </c>
      <c r="E113" s="587" t="s">
        <v>402</v>
      </c>
      <c r="F113" s="587" t="s">
        <v>402</v>
      </c>
      <c r="G113" s="587" t="s">
        <v>402</v>
      </c>
      <c r="H113" s="587" t="s">
        <v>402</v>
      </c>
      <c r="I113" s="587" t="s">
        <v>402</v>
      </c>
      <c r="J113" s="587" t="s">
        <v>402</v>
      </c>
      <c r="K113" s="587" t="s">
        <v>402</v>
      </c>
      <c r="L113" s="587" t="s">
        <v>402</v>
      </c>
      <c r="M113" s="1146" t="s">
        <v>589</v>
      </c>
      <c r="N113" s="356"/>
      <c r="O113" s="377"/>
      <c r="P113" s="540" t="s">
        <v>339</v>
      </c>
      <c r="Q113" s="538">
        <v>0.25</v>
      </c>
      <c r="R113" s="538">
        <v>80</v>
      </c>
      <c r="S113" s="623">
        <f>S114/2</f>
        <v>4.0967649999999995</v>
      </c>
      <c r="T113" s="334"/>
      <c r="U113" s="540">
        <v>316</v>
      </c>
      <c r="V113" s="617">
        <v>4.7700000000000001E-5</v>
      </c>
      <c r="AA113" s="334"/>
      <c r="AB113" s="334"/>
      <c r="AC113" s="334"/>
      <c r="AD113" s="310"/>
      <c r="AV113" s="310"/>
      <c r="AW113" s="310"/>
      <c r="AX113" s="310"/>
      <c r="AY113" s="310"/>
      <c r="AZ113" s="310"/>
      <c r="BA113" s="310"/>
      <c r="BB113" s="310"/>
      <c r="BC113" s="310"/>
      <c r="BD113" s="310"/>
      <c r="BE113" s="310"/>
      <c r="BF113" s="310"/>
    </row>
    <row r="114" spans="1:58" ht="30" customHeight="1" x14ac:dyDescent="0.2">
      <c r="A114" s="344"/>
      <c r="B114" s="1346"/>
      <c r="C114" s="540" t="s">
        <v>226</v>
      </c>
      <c r="D114" s="1134" t="s">
        <v>276</v>
      </c>
      <c r="E114" s="1133">
        <v>27760</v>
      </c>
      <c r="F114" s="1134">
        <v>5.0199999999999996</v>
      </c>
      <c r="G114" s="1134">
        <v>0.05</v>
      </c>
      <c r="H114" s="1134">
        <v>0.02</v>
      </c>
      <c r="I114" s="1134">
        <v>3.7999999999999999E-2</v>
      </c>
      <c r="J114" s="1132">
        <v>2</v>
      </c>
      <c r="K114" s="589">
        <v>43027</v>
      </c>
      <c r="L114" s="1064" t="s">
        <v>320</v>
      </c>
      <c r="M114" s="617" t="s">
        <v>586</v>
      </c>
      <c r="N114" s="356"/>
      <c r="O114" s="377"/>
      <c r="P114" s="540" t="s">
        <v>340</v>
      </c>
      <c r="Q114" s="538">
        <v>0.5</v>
      </c>
      <c r="R114" s="538">
        <v>40</v>
      </c>
      <c r="S114" s="623">
        <f>S115/2</f>
        <v>8.1935299999999991</v>
      </c>
      <c r="T114" s="334"/>
      <c r="U114" s="540">
        <v>304</v>
      </c>
      <c r="V114" s="617">
        <v>5.1799999999999999E-5</v>
      </c>
      <c r="AA114" s="334"/>
      <c r="AB114" s="334"/>
      <c r="AC114" s="334"/>
      <c r="AD114" s="310"/>
      <c r="AV114" s="310"/>
      <c r="AW114" s="310"/>
      <c r="AX114" s="310"/>
      <c r="AY114" s="310"/>
      <c r="AZ114" s="310"/>
      <c r="BA114" s="310"/>
      <c r="BB114" s="310"/>
      <c r="BC114" s="310"/>
      <c r="BD114" s="310"/>
      <c r="BE114" s="310"/>
      <c r="BF114" s="310"/>
    </row>
    <row r="115" spans="1:58" ht="30" customHeight="1" x14ac:dyDescent="0.2">
      <c r="A115" s="344"/>
      <c r="B115" s="1346"/>
      <c r="C115" s="540" t="s">
        <v>227</v>
      </c>
      <c r="D115" s="1134" t="s">
        <v>402</v>
      </c>
      <c r="E115" s="1133" t="s">
        <v>402</v>
      </c>
      <c r="F115" s="1133" t="s">
        <v>402</v>
      </c>
      <c r="G115" s="1133" t="s">
        <v>402</v>
      </c>
      <c r="H115" s="1133" t="s">
        <v>402</v>
      </c>
      <c r="I115" s="1133" t="s">
        <v>402</v>
      </c>
      <c r="J115" s="1133" t="s">
        <v>402</v>
      </c>
      <c r="K115" s="589" t="s">
        <v>402</v>
      </c>
      <c r="L115" s="1064" t="s">
        <v>402</v>
      </c>
      <c r="M115" s="617" t="s">
        <v>589</v>
      </c>
      <c r="N115" s="356"/>
      <c r="O115" s="377"/>
      <c r="P115" s="540" t="s">
        <v>342</v>
      </c>
      <c r="Q115" s="538">
        <v>1</v>
      </c>
      <c r="R115" s="538">
        <v>20</v>
      </c>
      <c r="S115" s="623">
        <f>'RT03-F11° '!L30</f>
        <v>16.387059999999998</v>
      </c>
      <c r="T115" s="334"/>
      <c r="U115" s="540"/>
      <c r="V115" s="617"/>
      <c r="AA115" s="334"/>
      <c r="AB115" s="334"/>
      <c r="AC115" s="334"/>
      <c r="AD115" s="310"/>
      <c r="AV115" s="310"/>
      <c r="AW115" s="310"/>
      <c r="AX115" s="310"/>
      <c r="AY115" s="310"/>
      <c r="AZ115" s="310"/>
      <c r="BA115" s="310"/>
      <c r="BB115" s="310"/>
      <c r="BC115" s="310"/>
      <c r="BD115" s="310"/>
      <c r="BE115" s="310"/>
      <c r="BF115" s="310"/>
    </row>
    <row r="116" spans="1:58" ht="30" customHeight="1" thickBot="1" x14ac:dyDescent="0.25">
      <c r="A116" s="344"/>
      <c r="B116" s="1346"/>
      <c r="C116" s="540" t="s">
        <v>228</v>
      </c>
      <c r="D116" s="1134" t="s">
        <v>276</v>
      </c>
      <c r="E116" s="1133">
        <v>27761</v>
      </c>
      <c r="F116" s="1134">
        <v>10.02</v>
      </c>
      <c r="G116" s="1134">
        <v>0.1</v>
      </c>
      <c r="H116" s="1134">
        <v>0.02</v>
      </c>
      <c r="I116" s="1134">
        <v>6.7000000000000004E-2</v>
      </c>
      <c r="J116" s="1132">
        <v>2</v>
      </c>
      <c r="K116" s="589">
        <v>43020</v>
      </c>
      <c r="L116" s="1064" t="s">
        <v>321</v>
      </c>
      <c r="M116" s="617" t="s">
        <v>587</v>
      </c>
      <c r="N116" s="356"/>
      <c r="O116" s="377"/>
      <c r="P116" s="615" t="s">
        <v>336</v>
      </c>
      <c r="Q116" s="575">
        <v>5</v>
      </c>
      <c r="R116" s="575">
        <v>40</v>
      </c>
      <c r="S116" s="624">
        <f>('RT03-F11° '!M30*0.05)/100</f>
        <v>9.4635274999999996</v>
      </c>
      <c r="T116" s="334"/>
      <c r="U116" s="550"/>
      <c r="V116" s="620"/>
      <c r="AA116" s="334"/>
      <c r="AB116" s="334"/>
      <c r="AC116" s="334"/>
      <c r="AD116" s="310"/>
      <c r="AV116" s="310"/>
      <c r="AW116" s="310"/>
      <c r="AX116" s="310"/>
      <c r="AY116" s="310"/>
      <c r="AZ116" s="310"/>
      <c r="BA116" s="310"/>
      <c r="BB116" s="310"/>
      <c r="BC116" s="310"/>
      <c r="BD116" s="310"/>
      <c r="BE116" s="310"/>
      <c r="BF116" s="310"/>
    </row>
    <row r="117" spans="1:58" ht="30" customHeight="1" thickBot="1" x14ac:dyDescent="0.25">
      <c r="A117" s="344"/>
      <c r="B117" s="1347"/>
      <c r="C117" s="550" t="s">
        <v>229</v>
      </c>
      <c r="D117" s="590" t="s">
        <v>276</v>
      </c>
      <c r="E117" s="591">
        <v>27762</v>
      </c>
      <c r="F117" s="590">
        <v>24.9</v>
      </c>
      <c r="G117" s="590">
        <v>0.1</v>
      </c>
      <c r="H117" s="590">
        <v>-0.1</v>
      </c>
      <c r="I117" s="590">
        <v>6.5000000000000002E-2</v>
      </c>
      <c r="J117" s="592">
        <v>2</v>
      </c>
      <c r="K117" s="593">
        <v>43025</v>
      </c>
      <c r="L117" s="1142" t="s">
        <v>322</v>
      </c>
      <c r="M117" s="620" t="s">
        <v>588</v>
      </c>
      <c r="N117" s="356"/>
      <c r="O117" s="377"/>
      <c r="T117" s="334"/>
      <c r="U117" s="334"/>
      <c r="V117" s="334"/>
      <c r="AA117" s="334"/>
      <c r="AB117" s="334"/>
      <c r="AC117" s="334"/>
      <c r="AD117" s="310"/>
      <c r="AV117" s="310"/>
      <c r="AW117" s="310"/>
      <c r="AX117" s="310"/>
      <c r="AY117" s="310"/>
      <c r="AZ117" s="310"/>
      <c r="BA117" s="310"/>
      <c r="BB117" s="310"/>
      <c r="BC117" s="310"/>
      <c r="BD117" s="310"/>
      <c r="BE117" s="310"/>
      <c r="BF117" s="310"/>
    </row>
    <row r="118" spans="1:58" ht="30" customHeight="1" thickBot="1" x14ac:dyDescent="0.25">
      <c r="A118" s="344"/>
      <c r="B118" s="310"/>
      <c r="C118" s="324"/>
      <c r="D118" s="324"/>
      <c r="E118" s="324"/>
      <c r="F118" s="324"/>
      <c r="G118" s="324"/>
      <c r="H118" s="324"/>
      <c r="I118" s="324"/>
      <c r="J118" s="324"/>
      <c r="K118" s="365"/>
      <c r="L118" s="324"/>
      <c r="M118" s="356"/>
      <c r="N118" s="356"/>
      <c r="O118" s="377"/>
      <c r="T118" s="334"/>
      <c r="U118" s="334"/>
      <c r="V118" s="334"/>
      <c r="AA118" s="334"/>
      <c r="AB118" s="334"/>
      <c r="AC118" s="334"/>
      <c r="AD118" s="310"/>
      <c r="AV118" s="310"/>
      <c r="AW118" s="310"/>
      <c r="AX118" s="310"/>
      <c r="AY118" s="310"/>
      <c r="AZ118" s="310"/>
      <c r="BA118" s="310"/>
      <c r="BB118" s="310"/>
      <c r="BC118" s="310"/>
      <c r="BD118" s="310"/>
      <c r="BE118" s="310"/>
      <c r="BF118" s="310"/>
    </row>
    <row r="119" spans="1:58" ht="30" customHeight="1" thickBot="1" x14ac:dyDescent="0.25">
      <c r="A119" s="344"/>
      <c r="B119" s="1233" t="s">
        <v>317</v>
      </c>
      <c r="C119" s="1234"/>
      <c r="D119" s="1234"/>
      <c r="E119" s="1234"/>
      <c r="F119" s="1234"/>
      <c r="G119" s="1234"/>
      <c r="H119" s="1234"/>
      <c r="I119" s="1234"/>
      <c r="J119" s="1234"/>
      <c r="K119" s="1234"/>
      <c r="L119" s="1235"/>
      <c r="M119" s="356"/>
      <c r="N119" s="356"/>
      <c r="O119" s="1340" t="s">
        <v>458</v>
      </c>
      <c r="P119" s="1341"/>
      <c r="Q119" s="1341"/>
      <c r="R119" s="1342"/>
      <c r="AA119" s="334"/>
      <c r="AB119" s="334"/>
      <c r="AC119" s="334"/>
      <c r="AD119" s="310"/>
      <c r="AV119" s="310"/>
      <c r="AW119" s="310"/>
      <c r="AX119" s="310"/>
      <c r="AY119" s="310"/>
      <c r="AZ119" s="310"/>
      <c r="BA119" s="310"/>
      <c r="BB119" s="310"/>
      <c r="BC119" s="310"/>
      <c r="BD119" s="310"/>
      <c r="BE119" s="310"/>
      <c r="BF119" s="310"/>
    </row>
    <row r="120" spans="1:58" ht="60" customHeight="1" thickBot="1" x14ac:dyDescent="0.25">
      <c r="A120" s="344"/>
      <c r="B120" s="1343" t="s">
        <v>197</v>
      </c>
      <c r="C120" s="1143"/>
      <c r="D120" s="390" t="s">
        <v>44</v>
      </c>
      <c r="E120" s="390" t="s">
        <v>268</v>
      </c>
      <c r="F120" s="392" t="s">
        <v>269</v>
      </c>
      <c r="G120" s="392" t="s">
        <v>186</v>
      </c>
      <c r="H120" s="392" t="s">
        <v>238</v>
      </c>
      <c r="I120" s="392" t="s">
        <v>184</v>
      </c>
      <c r="J120" s="392" t="s">
        <v>239</v>
      </c>
      <c r="K120" s="393" t="s">
        <v>185</v>
      </c>
      <c r="L120" s="394" t="s">
        <v>467</v>
      </c>
      <c r="M120" s="356"/>
      <c r="N120" s="511" t="s">
        <v>240</v>
      </c>
      <c r="O120" s="1348" t="s">
        <v>260</v>
      </c>
      <c r="P120" s="1349"/>
      <c r="Q120" s="512" t="s">
        <v>459</v>
      </c>
      <c r="R120" s="512" t="s">
        <v>460</v>
      </c>
      <c r="AA120" s="334"/>
      <c r="AB120" s="334"/>
      <c r="AC120" s="334"/>
      <c r="AD120" s="310"/>
      <c r="AV120" s="310"/>
      <c r="AW120" s="310"/>
      <c r="AX120" s="310"/>
      <c r="AY120" s="310"/>
      <c r="AZ120" s="310"/>
      <c r="BA120" s="310"/>
      <c r="BB120" s="310"/>
      <c r="BC120" s="310"/>
      <c r="BD120" s="310"/>
      <c r="BE120" s="310"/>
      <c r="BF120" s="310"/>
    </row>
    <row r="121" spans="1:58" ht="30" customHeight="1" thickBot="1" x14ac:dyDescent="0.25">
      <c r="A121" s="344"/>
      <c r="B121" s="1344"/>
      <c r="C121" s="1144"/>
      <c r="D121" s="370"/>
      <c r="E121" s="364"/>
      <c r="F121" s="364"/>
      <c r="G121" s="364"/>
      <c r="H121" s="364"/>
      <c r="I121" s="364"/>
      <c r="J121" s="364"/>
      <c r="K121" s="383"/>
      <c r="L121" s="352"/>
      <c r="M121" s="356"/>
      <c r="N121" s="327"/>
      <c r="O121" s="513"/>
      <c r="P121" s="354"/>
      <c r="Q121" s="354"/>
      <c r="R121" s="514"/>
      <c r="AA121" s="334"/>
      <c r="AB121" s="334"/>
      <c r="AC121" s="334"/>
      <c r="AD121" s="310"/>
      <c r="AV121" s="310"/>
      <c r="AW121" s="310"/>
      <c r="AX121" s="310"/>
      <c r="AY121" s="310"/>
      <c r="AZ121" s="310"/>
      <c r="BA121" s="310"/>
      <c r="BB121" s="310"/>
      <c r="BC121" s="310"/>
      <c r="BD121" s="310"/>
      <c r="BE121" s="310"/>
      <c r="BF121" s="310"/>
    </row>
    <row r="122" spans="1:58" ht="30" customHeight="1" x14ac:dyDescent="0.2">
      <c r="A122" s="344"/>
      <c r="B122" s="1344"/>
      <c r="C122" s="586" t="s">
        <v>230</v>
      </c>
      <c r="D122" s="594" t="s">
        <v>277</v>
      </c>
      <c r="E122" s="46" t="s">
        <v>323</v>
      </c>
      <c r="F122" s="555" t="s">
        <v>564</v>
      </c>
      <c r="G122" s="568">
        <v>1</v>
      </c>
      <c r="H122" s="555">
        <v>0.27</v>
      </c>
      <c r="I122" s="595">
        <v>0.17</v>
      </c>
      <c r="J122" s="595">
        <v>2.1</v>
      </c>
      <c r="K122" s="569">
        <v>42523</v>
      </c>
      <c r="L122" s="644" t="s">
        <v>319</v>
      </c>
      <c r="M122" s="356"/>
      <c r="N122" s="621" t="s">
        <v>230</v>
      </c>
      <c r="O122" s="596">
        <v>10</v>
      </c>
      <c r="P122" s="538">
        <v>100</v>
      </c>
      <c r="Q122" s="538">
        <v>10.3</v>
      </c>
      <c r="R122" s="617">
        <v>100.24</v>
      </c>
      <c r="AA122" s="334"/>
      <c r="AB122" s="334"/>
      <c r="AC122" s="334"/>
      <c r="AD122" s="310"/>
      <c r="AV122" s="310"/>
      <c r="AW122" s="310"/>
      <c r="AX122" s="310"/>
      <c r="AY122" s="310"/>
      <c r="AZ122" s="310"/>
      <c r="BA122" s="310"/>
      <c r="BB122" s="310"/>
      <c r="BC122" s="310"/>
      <c r="BD122" s="310"/>
      <c r="BE122" s="310"/>
      <c r="BF122" s="310"/>
    </row>
    <row r="123" spans="1:58" ht="30" customHeight="1" x14ac:dyDescent="0.2">
      <c r="A123" s="344"/>
      <c r="B123" s="1344"/>
      <c r="C123" s="540" t="s">
        <v>231</v>
      </c>
      <c r="D123" s="596" t="s">
        <v>276</v>
      </c>
      <c r="E123" s="38">
        <v>27755</v>
      </c>
      <c r="F123" s="538">
        <v>499.68</v>
      </c>
      <c r="G123" s="572">
        <v>5</v>
      </c>
      <c r="H123" s="538">
        <v>-0.32</v>
      </c>
      <c r="I123" s="538">
        <v>2.9</v>
      </c>
      <c r="J123" s="572">
        <v>2</v>
      </c>
      <c r="K123" s="573">
        <v>43010</v>
      </c>
      <c r="L123" s="626" t="s">
        <v>324</v>
      </c>
      <c r="M123" s="356"/>
      <c r="N123" s="621" t="s">
        <v>231</v>
      </c>
      <c r="O123" s="596">
        <v>50</v>
      </c>
      <c r="P123" s="538">
        <v>500</v>
      </c>
      <c r="Q123" s="538">
        <v>50.14</v>
      </c>
      <c r="R123" s="617">
        <v>499.68</v>
      </c>
      <c r="AA123" s="334"/>
      <c r="AB123" s="334"/>
      <c r="AC123" s="334"/>
      <c r="AD123" s="310"/>
      <c r="AV123" s="310"/>
      <c r="AW123" s="310"/>
      <c r="AX123" s="310"/>
      <c r="AY123" s="310"/>
      <c r="AZ123" s="310"/>
      <c r="BA123" s="310"/>
      <c r="BB123" s="310"/>
      <c r="BC123" s="310"/>
      <c r="BD123" s="310"/>
      <c r="BE123" s="310"/>
      <c r="BF123" s="310"/>
    </row>
    <row r="124" spans="1:58" ht="30" customHeight="1" x14ac:dyDescent="0.2">
      <c r="A124" s="344"/>
      <c r="B124" s="1344"/>
      <c r="C124" s="540" t="s">
        <v>232</v>
      </c>
      <c r="D124" s="597" t="s">
        <v>402</v>
      </c>
      <c r="E124" s="596" t="s">
        <v>402</v>
      </c>
      <c r="F124" s="597" t="s">
        <v>402</v>
      </c>
      <c r="G124" s="597" t="s">
        <v>402</v>
      </c>
      <c r="H124" s="597" t="s">
        <v>402</v>
      </c>
      <c r="I124" s="597" t="s">
        <v>402</v>
      </c>
      <c r="J124" s="597" t="s">
        <v>402</v>
      </c>
      <c r="K124" s="597" t="s">
        <v>402</v>
      </c>
      <c r="L124" s="618" t="s">
        <v>402</v>
      </c>
      <c r="M124" s="356"/>
      <c r="N124" s="621" t="s">
        <v>232</v>
      </c>
      <c r="O124" s="597" t="s">
        <v>402</v>
      </c>
      <c r="P124" s="597" t="s">
        <v>402</v>
      </c>
      <c r="Q124" s="597" t="s">
        <v>402</v>
      </c>
      <c r="R124" s="618" t="s">
        <v>402</v>
      </c>
      <c r="AA124" s="334"/>
      <c r="AB124" s="334"/>
      <c r="AC124" s="334"/>
      <c r="AD124" s="310"/>
      <c r="AV124" s="310"/>
      <c r="AW124" s="310"/>
      <c r="AX124" s="310"/>
      <c r="AY124" s="310"/>
      <c r="AZ124" s="310"/>
      <c r="BA124" s="310"/>
      <c r="BB124" s="310"/>
      <c r="BC124" s="310"/>
      <c r="BD124" s="310"/>
      <c r="BE124" s="310"/>
      <c r="BF124" s="310"/>
    </row>
    <row r="125" spans="1:58" ht="30" customHeight="1" x14ac:dyDescent="0.2">
      <c r="A125" s="344"/>
      <c r="B125" s="1344"/>
      <c r="C125" s="540" t="s">
        <v>233</v>
      </c>
      <c r="D125" s="596" t="s">
        <v>276</v>
      </c>
      <c r="E125" s="538">
        <v>27757</v>
      </c>
      <c r="F125" s="538">
        <v>500.46</v>
      </c>
      <c r="G125" s="572">
        <v>5</v>
      </c>
      <c r="H125" s="538">
        <v>0.46</v>
      </c>
      <c r="I125" s="538">
        <v>2.9</v>
      </c>
      <c r="J125" s="572">
        <v>2</v>
      </c>
      <c r="K125" s="573">
        <v>43017</v>
      </c>
      <c r="L125" s="626" t="s">
        <v>325</v>
      </c>
      <c r="M125" s="356"/>
      <c r="N125" s="621" t="s">
        <v>233</v>
      </c>
      <c r="O125" s="596">
        <v>50</v>
      </c>
      <c r="P125" s="538">
        <v>500</v>
      </c>
      <c r="Q125" s="619">
        <v>50.7</v>
      </c>
      <c r="R125" s="617">
        <v>500.46</v>
      </c>
      <c r="AA125" s="334"/>
      <c r="AB125" s="334"/>
      <c r="AC125" s="334"/>
      <c r="AD125" s="310"/>
      <c r="AV125" s="310"/>
      <c r="AW125" s="310"/>
      <c r="AX125" s="310"/>
      <c r="AY125" s="310"/>
      <c r="AZ125" s="310"/>
      <c r="BA125" s="310"/>
      <c r="BB125" s="310"/>
      <c r="BC125" s="310"/>
      <c r="BD125" s="310"/>
      <c r="BE125" s="310"/>
      <c r="BF125" s="310"/>
    </row>
    <row r="126" spans="1:58" ht="30" customHeight="1" x14ac:dyDescent="0.2">
      <c r="A126" s="344"/>
      <c r="B126" s="1344"/>
      <c r="C126" s="540" t="s">
        <v>234</v>
      </c>
      <c r="D126" s="596" t="s">
        <v>276</v>
      </c>
      <c r="E126" s="538">
        <v>27758</v>
      </c>
      <c r="F126" s="538">
        <v>500.34800000000001</v>
      </c>
      <c r="G126" s="572">
        <v>5</v>
      </c>
      <c r="H126" s="538">
        <v>0.34799999999999998</v>
      </c>
      <c r="I126" s="538">
        <v>3.5000000000000003E-2</v>
      </c>
      <c r="J126" s="538">
        <v>2</v>
      </c>
      <c r="K126" s="573">
        <v>42769</v>
      </c>
      <c r="L126" s="626" t="s">
        <v>326</v>
      </c>
      <c r="M126" s="356"/>
      <c r="N126" s="621" t="s">
        <v>234</v>
      </c>
      <c r="O126" s="596">
        <v>100</v>
      </c>
      <c r="P126" s="538">
        <v>500</v>
      </c>
      <c r="Q126" s="538">
        <v>100.286</v>
      </c>
      <c r="R126" s="617">
        <v>500.34800000000001</v>
      </c>
      <c r="AA126" s="334"/>
      <c r="AB126" s="334"/>
      <c r="AC126" s="334"/>
      <c r="AD126" s="310"/>
      <c r="AV126" s="310"/>
      <c r="AW126" s="310"/>
      <c r="AX126" s="310"/>
      <c r="AY126" s="310"/>
      <c r="AZ126" s="310"/>
      <c r="BA126" s="310"/>
      <c r="BB126" s="310"/>
      <c r="BC126" s="310"/>
      <c r="BD126" s="310"/>
      <c r="BE126" s="310"/>
      <c r="BF126" s="310"/>
    </row>
    <row r="127" spans="1:58" ht="30" customHeight="1" thickBot="1" x14ac:dyDescent="0.25">
      <c r="A127" s="344"/>
      <c r="B127" s="1345"/>
      <c r="C127" s="550" t="s">
        <v>235</v>
      </c>
      <c r="D127" s="598" t="s">
        <v>276</v>
      </c>
      <c r="E127" s="575">
        <v>27759</v>
      </c>
      <c r="F127" s="575">
        <v>1000.625</v>
      </c>
      <c r="G127" s="599">
        <v>10</v>
      </c>
      <c r="H127" s="575">
        <v>0.625</v>
      </c>
      <c r="I127" s="575">
        <v>3.9E-2</v>
      </c>
      <c r="J127" s="575">
        <v>2</v>
      </c>
      <c r="K127" s="600">
        <v>42769</v>
      </c>
      <c r="L127" s="563" t="s">
        <v>327</v>
      </c>
      <c r="M127" s="356"/>
      <c r="N127" s="622" t="s">
        <v>235</v>
      </c>
      <c r="O127" s="598">
        <v>200</v>
      </c>
      <c r="P127" s="575">
        <v>1000</v>
      </c>
      <c r="Q127" s="575">
        <v>201.202</v>
      </c>
      <c r="R127" s="620">
        <v>1000.625</v>
      </c>
      <c r="AA127" s="334"/>
      <c r="AB127" s="334"/>
      <c r="AC127" s="334"/>
      <c r="AD127" s="310"/>
      <c r="AV127" s="310"/>
      <c r="AW127" s="310"/>
      <c r="AX127" s="310"/>
      <c r="AY127" s="310"/>
      <c r="AZ127" s="310"/>
      <c r="BA127" s="310"/>
      <c r="BB127" s="310"/>
      <c r="BC127" s="310"/>
      <c r="BD127" s="310"/>
      <c r="BE127" s="310"/>
      <c r="BF127" s="310"/>
    </row>
    <row r="128" spans="1:58" ht="30" customHeight="1" thickBot="1" x14ac:dyDescent="0.25">
      <c r="A128" s="344"/>
      <c r="B128" s="310"/>
      <c r="C128" s="324"/>
      <c r="D128" s="324"/>
      <c r="E128" s="324"/>
      <c r="F128" s="324"/>
      <c r="G128" s="324"/>
      <c r="H128" s="324"/>
      <c r="I128" s="324"/>
      <c r="J128" s="324"/>
      <c r="K128" s="365"/>
      <c r="L128" s="324"/>
      <c r="M128" s="356"/>
      <c r="AA128" s="334"/>
      <c r="AB128" s="334"/>
      <c r="AC128" s="334"/>
      <c r="AD128" s="310"/>
      <c r="AV128" s="310"/>
      <c r="AW128" s="310"/>
      <c r="AX128" s="310"/>
      <c r="AY128" s="310"/>
      <c r="AZ128" s="310"/>
      <c r="BA128" s="310"/>
      <c r="BB128" s="310"/>
      <c r="BC128" s="310"/>
      <c r="BD128" s="310"/>
      <c r="BE128" s="310"/>
      <c r="BF128" s="310"/>
    </row>
    <row r="129" spans="1:58" ht="30" customHeight="1" thickBot="1" x14ac:dyDescent="0.25">
      <c r="A129" s="344"/>
      <c r="B129" s="1233" t="s">
        <v>206</v>
      </c>
      <c r="C129" s="1234"/>
      <c r="D129" s="1234"/>
      <c r="E129" s="1234"/>
      <c r="F129" s="1234"/>
      <c r="G129" s="1234"/>
      <c r="H129" s="1234"/>
      <c r="I129" s="1234"/>
      <c r="J129" s="1234"/>
      <c r="K129" s="1234"/>
      <c r="L129" s="1235"/>
      <c r="M129" s="356"/>
      <c r="T129" s="334"/>
      <c r="U129" s="334"/>
      <c r="V129" s="334"/>
      <c r="AA129" s="334"/>
      <c r="AB129" s="334"/>
      <c r="AC129" s="334"/>
      <c r="AD129" s="310"/>
      <c r="AV129" s="310"/>
      <c r="AW129" s="310"/>
      <c r="AX129" s="310"/>
      <c r="AY129" s="310"/>
      <c r="AZ129" s="310"/>
      <c r="BA129" s="310"/>
      <c r="BB129" s="310"/>
      <c r="BC129" s="310"/>
      <c r="BD129" s="310"/>
      <c r="BE129" s="310"/>
      <c r="BF129" s="310"/>
    </row>
    <row r="130" spans="1:58" ht="60" customHeight="1" thickBot="1" x14ac:dyDescent="0.25">
      <c r="A130" s="344"/>
      <c r="B130" s="1266" t="s">
        <v>461</v>
      </c>
      <c r="C130" s="366"/>
      <c r="D130" s="372" t="s">
        <v>44</v>
      </c>
      <c r="E130" s="373" t="s">
        <v>270</v>
      </c>
      <c r="F130" s="372" t="s">
        <v>269</v>
      </c>
      <c r="G130" s="372" t="s">
        <v>186</v>
      </c>
      <c r="H130" s="372" t="s">
        <v>238</v>
      </c>
      <c r="I130" s="372" t="s">
        <v>184</v>
      </c>
      <c r="J130" s="372" t="s">
        <v>239</v>
      </c>
      <c r="K130" s="374" t="s">
        <v>185</v>
      </c>
      <c r="L130" s="361" t="s">
        <v>467</v>
      </c>
      <c r="M130" s="356"/>
      <c r="T130" s="334"/>
      <c r="U130" s="334"/>
      <c r="V130" s="334"/>
      <c r="W130" s="334"/>
      <c r="X130" s="334"/>
      <c r="Y130" s="334"/>
      <c r="Z130" s="334"/>
      <c r="AA130" s="334"/>
      <c r="AB130" s="334"/>
      <c r="AC130" s="334"/>
      <c r="AD130" s="310"/>
      <c r="AV130" s="310"/>
      <c r="AW130" s="310"/>
      <c r="AX130" s="310"/>
      <c r="AY130" s="310"/>
      <c r="AZ130" s="310"/>
      <c r="BA130" s="310"/>
      <c r="BB130" s="310"/>
      <c r="BC130" s="310"/>
      <c r="BD130" s="310"/>
      <c r="BE130" s="310"/>
      <c r="BF130" s="310"/>
    </row>
    <row r="131" spans="1:58" ht="30" customHeight="1" thickBot="1" x14ac:dyDescent="0.25">
      <c r="A131" s="344"/>
      <c r="B131" s="1267"/>
      <c r="C131" s="384"/>
      <c r="D131" s="385"/>
      <c r="E131" s="368"/>
      <c r="F131" s="368"/>
      <c r="G131" s="368"/>
      <c r="H131" s="368"/>
      <c r="I131" s="368"/>
      <c r="J131" s="368"/>
      <c r="K131" s="369"/>
      <c r="L131" s="371"/>
      <c r="M131" s="356"/>
      <c r="Q131" s="333"/>
      <c r="R131" s="334"/>
      <c r="S131" s="334"/>
      <c r="T131" s="334"/>
      <c r="U131" s="334"/>
      <c r="V131" s="334"/>
      <c r="W131" s="334"/>
      <c r="X131" s="334"/>
      <c r="Y131" s="334"/>
      <c r="Z131" s="334"/>
      <c r="AA131" s="334"/>
      <c r="AB131" s="334"/>
      <c r="AC131" s="334"/>
      <c r="AD131" s="310"/>
      <c r="AV131" s="310"/>
      <c r="AW131" s="310"/>
      <c r="AX131" s="310"/>
      <c r="AY131" s="310"/>
      <c r="AZ131" s="310"/>
      <c r="BA131" s="310"/>
      <c r="BB131" s="310"/>
      <c r="BC131" s="310"/>
      <c r="BD131" s="310"/>
      <c r="BE131" s="310"/>
      <c r="BF131" s="310"/>
    </row>
    <row r="132" spans="1:58" ht="30" customHeight="1" thickBot="1" x14ac:dyDescent="0.25">
      <c r="A132" s="344"/>
      <c r="B132" s="1268"/>
      <c r="C132" s="565" t="s">
        <v>237</v>
      </c>
      <c r="D132" s="601" t="s">
        <v>279</v>
      </c>
      <c r="E132" s="602" t="s">
        <v>236</v>
      </c>
      <c r="F132" s="603">
        <v>120</v>
      </c>
      <c r="G132" s="603">
        <v>1E-4</v>
      </c>
      <c r="H132" s="923">
        <v>6.9499999999999998E-4</v>
      </c>
      <c r="I132" s="603">
        <v>1.5999999999999999E-5</v>
      </c>
      <c r="J132" s="603">
        <v>2.2999999999999998</v>
      </c>
      <c r="K132" s="604">
        <v>42846</v>
      </c>
      <c r="L132" s="645" t="s">
        <v>328</v>
      </c>
      <c r="M132" s="356"/>
      <c r="Q132" s="333"/>
      <c r="R132" s="334"/>
      <c r="S132" s="334"/>
      <c r="T132" s="334"/>
      <c r="U132" s="334"/>
      <c r="V132" s="334"/>
      <c r="W132" s="334"/>
      <c r="X132" s="334"/>
      <c r="Y132" s="334"/>
      <c r="Z132" s="334"/>
      <c r="AA132" s="334"/>
      <c r="AB132" s="334"/>
      <c r="AC132" s="334"/>
      <c r="AD132" s="310"/>
      <c r="AV132" s="310"/>
      <c r="AW132" s="310"/>
      <c r="AX132" s="310"/>
      <c r="AY132" s="310"/>
      <c r="AZ132" s="310"/>
      <c r="BA132" s="310"/>
      <c r="BB132" s="310"/>
      <c r="BC132" s="310"/>
      <c r="BD132" s="310"/>
      <c r="BE132" s="310"/>
      <c r="BF132" s="310"/>
    </row>
    <row r="133" spans="1:58" ht="30" customHeight="1" x14ac:dyDescent="0.2">
      <c r="A133" s="344"/>
      <c r="B133" s="386"/>
      <c r="C133" s="366"/>
      <c r="D133" s="387"/>
      <c r="E133" s="366"/>
      <c r="F133" s="366"/>
      <c r="G133" s="366"/>
      <c r="H133" s="366"/>
      <c r="I133" s="366"/>
      <c r="J133" s="366"/>
      <c r="K133" s="388"/>
      <c r="L133" s="389"/>
      <c r="M133" s="356"/>
      <c r="T133" s="334"/>
      <c r="U133" s="334"/>
      <c r="V133" s="334"/>
      <c r="W133" s="334"/>
      <c r="X133" s="334"/>
      <c r="Y133" s="334"/>
      <c r="Z133" s="334"/>
      <c r="AA133" s="334"/>
      <c r="AB133" s="334"/>
      <c r="AC133" s="334"/>
      <c r="AD133" s="310"/>
      <c r="AV133" s="310"/>
      <c r="AW133" s="310"/>
      <c r="AX133" s="310"/>
      <c r="AY133" s="310"/>
      <c r="AZ133" s="310"/>
      <c r="BA133" s="310"/>
      <c r="BB133" s="310"/>
      <c r="BC133" s="310"/>
      <c r="BD133" s="310"/>
      <c r="BE133" s="310"/>
      <c r="BF133" s="310"/>
    </row>
    <row r="134" spans="1:58" ht="30" customHeight="1" thickBot="1" x14ac:dyDescent="0.25">
      <c r="A134" s="344"/>
      <c r="B134" s="310"/>
      <c r="C134" s="324"/>
      <c r="D134" s="324"/>
      <c r="E134" s="324"/>
      <c r="F134" s="324"/>
      <c r="G134" s="324"/>
      <c r="H134" s="324"/>
      <c r="I134" s="324"/>
      <c r="J134" s="324"/>
      <c r="K134" s="365"/>
      <c r="L134" s="324"/>
      <c r="M134" s="356"/>
      <c r="T134" s="334"/>
      <c r="U134" s="334"/>
      <c r="V134" s="334"/>
      <c r="W134" s="334"/>
      <c r="X134" s="334"/>
      <c r="Y134" s="334"/>
      <c r="Z134" s="334"/>
      <c r="AA134" s="334"/>
      <c r="AB134" s="334"/>
      <c r="AC134" s="334"/>
      <c r="AD134" s="310"/>
      <c r="AV134" s="310"/>
      <c r="AW134" s="310"/>
      <c r="AX134" s="310"/>
      <c r="AY134" s="310"/>
      <c r="AZ134" s="310"/>
      <c r="BA134" s="310"/>
      <c r="BB134" s="310"/>
      <c r="BC134" s="310"/>
      <c r="BD134" s="310"/>
      <c r="BE134" s="310"/>
      <c r="BF134" s="310"/>
    </row>
    <row r="135" spans="1:58" ht="30" customHeight="1" thickBot="1" x14ac:dyDescent="0.25">
      <c r="A135" s="344"/>
      <c r="B135" s="1233" t="s">
        <v>205</v>
      </c>
      <c r="C135" s="1234"/>
      <c r="D135" s="1234"/>
      <c r="E135" s="1234"/>
      <c r="F135" s="1234"/>
      <c r="G135" s="1234"/>
      <c r="H135" s="1234"/>
      <c r="I135" s="1234"/>
      <c r="J135" s="1234"/>
      <c r="K135" s="1234"/>
      <c r="L135" s="1235"/>
      <c r="M135" s="356"/>
      <c r="T135" s="334"/>
      <c r="U135" s="334"/>
      <c r="V135" s="334"/>
      <c r="W135" s="334"/>
      <c r="X135" s="334"/>
      <c r="Y135" s="334"/>
      <c r="Z135" s="334"/>
      <c r="AA135" s="334"/>
      <c r="AB135" s="334"/>
      <c r="AC135" s="334"/>
      <c r="AD135" s="310"/>
      <c r="AV135" s="310"/>
      <c r="AW135" s="310"/>
      <c r="AX135" s="310"/>
      <c r="AY135" s="310"/>
      <c r="AZ135" s="310"/>
      <c r="BA135" s="310"/>
      <c r="BB135" s="310"/>
      <c r="BC135" s="310"/>
      <c r="BD135" s="310"/>
      <c r="BE135" s="310"/>
      <c r="BF135" s="310"/>
    </row>
    <row r="136" spans="1:58" ht="60" customHeight="1" thickBot="1" x14ac:dyDescent="0.25">
      <c r="A136" s="344"/>
      <c r="B136" s="310"/>
      <c r="C136" s="366"/>
      <c r="D136" s="390" t="s">
        <v>44</v>
      </c>
      <c r="E136" s="391" t="s">
        <v>270</v>
      </c>
      <c r="F136" s="392" t="s">
        <v>271</v>
      </c>
      <c r="G136" s="392" t="s">
        <v>186</v>
      </c>
      <c r="H136" s="392" t="s">
        <v>238</v>
      </c>
      <c r="I136" s="392" t="s">
        <v>184</v>
      </c>
      <c r="J136" s="392" t="s">
        <v>239</v>
      </c>
      <c r="K136" s="393" t="s">
        <v>185</v>
      </c>
      <c r="L136" s="394" t="s">
        <v>467</v>
      </c>
      <c r="M136" s="356"/>
      <c r="T136" s="334"/>
      <c r="U136" s="334"/>
      <c r="V136" s="334"/>
      <c r="W136" s="334"/>
      <c r="X136" s="334"/>
      <c r="Y136" s="334"/>
      <c r="Z136" s="334"/>
      <c r="AA136" s="334"/>
      <c r="AB136" s="334"/>
      <c r="AC136" s="334"/>
      <c r="AD136" s="310"/>
      <c r="AV136" s="310"/>
      <c r="AW136" s="310"/>
      <c r="AX136" s="310"/>
      <c r="AY136" s="310"/>
      <c r="AZ136" s="310"/>
      <c r="BA136" s="310"/>
      <c r="BB136" s="310"/>
      <c r="BC136" s="310"/>
      <c r="BD136" s="310"/>
      <c r="BE136" s="310"/>
      <c r="BF136" s="310"/>
    </row>
    <row r="137" spans="1:58" ht="30" customHeight="1" thickBot="1" x14ac:dyDescent="0.25">
      <c r="A137" s="344"/>
      <c r="B137" s="310"/>
      <c r="C137" s="366"/>
      <c r="D137" s="382"/>
      <c r="E137" s="364"/>
      <c r="F137" s="364"/>
      <c r="G137" s="364"/>
      <c r="H137" s="364"/>
      <c r="I137" s="364"/>
      <c r="J137" s="364"/>
      <c r="K137" s="383"/>
      <c r="L137" s="352"/>
      <c r="M137" s="356"/>
      <c r="T137" s="334"/>
      <c r="U137" s="334"/>
      <c r="V137" s="334"/>
      <c r="W137" s="334"/>
      <c r="X137" s="334"/>
      <c r="Y137" s="334"/>
      <c r="Z137" s="334"/>
      <c r="AA137" s="334"/>
      <c r="AB137" s="334"/>
      <c r="AC137" s="334"/>
      <c r="AD137" s="310"/>
      <c r="AV137" s="310"/>
      <c r="AW137" s="310"/>
      <c r="AX137" s="310"/>
      <c r="AY137" s="310"/>
      <c r="AZ137" s="310"/>
      <c r="BA137" s="310"/>
      <c r="BB137" s="310"/>
      <c r="BC137" s="310"/>
      <c r="BD137" s="310"/>
      <c r="BE137" s="310"/>
      <c r="BF137" s="310"/>
    </row>
    <row r="138" spans="1:58" ht="30" customHeight="1" x14ac:dyDescent="0.2">
      <c r="A138" s="344"/>
      <c r="B138" s="1323" t="s">
        <v>202</v>
      </c>
      <c r="C138" s="586" t="s">
        <v>329</v>
      </c>
      <c r="D138" s="1263" t="s">
        <v>278</v>
      </c>
      <c r="E138" s="46">
        <v>16901291</v>
      </c>
      <c r="F138" s="46">
        <v>4.9800000000000004</v>
      </c>
      <c r="G138" s="46">
        <v>0.01</v>
      </c>
      <c r="H138" s="556">
        <v>-2E-3</v>
      </c>
      <c r="I138" s="556">
        <v>1E-3</v>
      </c>
      <c r="J138" s="646">
        <v>2</v>
      </c>
      <c r="K138" s="569">
        <v>43133</v>
      </c>
      <c r="L138" s="605" t="s">
        <v>331</v>
      </c>
      <c r="M138" s="356"/>
      <c r="T138" s="334"/>
      <c r="U138" s="334"/>
      <c r="V138" s="334"/>
      <c r="W138" s="334"/>
      <c r="X138" s="334"/>
      <c r="Y138" s="334"/>
      <c r="Z138" s="334"/>
      <c r="AA138" s="334"/>
      <c r="AB138" s="334"/>
      <c r="AC138" s="334"/>
      <c r="AD138" s="310"/>
      <c r="AV138" s="310"/>
      <c r="AW138" s="310"/>
      <c r="AX138" s="310"/>
      <c r="AY138" s="310"/>
      <c r="AZ138" s="310"/>
      <c r="BA138" s="310"/>
      <c r="BB138" s="310"/>
      <c r="BC138" s="310"/>
      <c r="BD138" s="310"/>
      <c r="BE138" s="310"/>
      <c r="BF138" s="310"/>
    </row>
    <row r="139" spans="1:58" ht="30" customHeight="1" x14ac:dyDescent="0.2">
      <c r="A139" s="344"/>
      <c r="B139" s="1324"/>
      <c r="C139" s="540" t="s">
        <v>310</v>
      </c>
      <c r="D139" s="1264"/>
      <c r="E139" s="38">
        <v>16901291</v>
      </c>
      <c r="F139" s="38">
        <v>21.49</v>
      </c>
      <c r="G139" s="38">
        <v>0.01</v>
      </c>
      <c r="H139" s="119">
        <v>-1E-3</v>
      </c>
      <c r="I139" s="119">
        <v>1E-3</v>
      </c>
      <c r="J139" s="124">
        <v>2</v>
      </c>
      <c r="K139" s="573">
        <v>43133</v>
      </c>
      <c r="L139" s="606" t="s">
        <v>331</v>
      </c>
      <c r="M139" s="356"/>
      <c r="T139" s="334"/>
      <c r="U139" s="334"/>
      <c r="V139" s="334"/>
      <c r="W139" s="334"/>
      <c r="X139" s="334"/>
      <c r="Y139" s="334"/>
      <c r="Z139" s="334"/>
      <c r="AA139" s="334"/>
      <c r="AB139" s="334"/>
      <c r="AC139" s="334"/>
      <c r="AD139" s="310"/>
      <c r="AV139" s="310"/>
      <c r="AW139" s="310"/>
      <c r="AX139" s="310"/>
      <c r="AY139" s="310"/>
      <c r="AZ139" s="310"/>
      <c r="BA139" s="310"/>
      <c r="BB139" s="310"/>
      <c r="BC139" s="310"/>
      <c r="BD139" s="310"/>
      <c r="BE139" s="310"/>
      <c r="BF139" s="310"/>
    </row>
    <row r="140" spans="1:58" ht="30" customHeight="1" x14ac:dyDescent="0.2">
      <c r="A140" s="344"/>
      <c r="B140" s="1324"/>
      <c r="C140" s="540" t="s">
        <v>311</v>
      </c>
      <c r="D140" s="1264"/>
      <c r="E140" s="38">
        <v>16901291</v>
      </c>
      <c r="F140" s="137">
        <v>50</v>
      </c>
      <c r="G140" s="38">
        <v>0.01</v>
      </c>
      <c r="H140" s="137">
        <v>0</v>
      </c>
      <c r="I140" s="119">
        <v>1E-3</v>
      </c>
      <c r="J140" s="124">
        <v>2</v>
      </c>
      <c r="K140" s="573">
        <v>43133</v>
      </c>
      <c r="L140" s="606" t="s">
        <v>331</v>
      </c>
      <c r="M140" s="356"/>
      <c r="T140" s="334"/>
      <c r="U140" s="334"/>
      <c r="V140" s="334"/>
      <c r="W140" s="334"/>
      <c r="X140" s="334"/>
      <c r="Y140" s="334"/>
      <c r="Z140" s="334"/>
      <c r="AA140" s="334"/>
      <c r="AB140" s="334"/>
      <c r="AC140" s="334"/>
      <c r="AD140" s="310"/>
      <c r="AV140" s="310"/>
      <c r="AW140" s="310"/>
      <c r="AX140" s="310"/>
      <c r="AY140" s="310"/>
      <c r="AZ140" s="310"/>
      <c r="BA140" s="310"/>
      <c r="BB140" s="310"/>
      <c r="BC140" s="310"/>
      <c r="BD140" s="310"/>
      <c r="BE140" s="310"/>
      <c r="BF140" s="310"/>
    </row>
    <row r="141" spans="1:58" ht="35.1" customHeight="1" x14ac:dyDescent="0.2">
      <c r="A141" s="344"/>
      <c r="B141" s="1324"/>
      <c r="C141" s="540" t="s">
        <v>330</v>
      </c>
      <c r="D141" s="1264"/>
      <c r="E141" s="38">
        <v>16901291</v>
      </c>
      <c r="F141" s="38">
        <v>71.510000000000005</v>
      </c>
      <c r="G141" s="38">
        <v>0.01</v>
      </c>
      <c r="H141" s="119">
        <v>1E-3</v>
      </c>
      <c r="I141" s="119">
        <v>1E-3</v>
      </c>
      <c r="J141" s="124">
        <v>2</v>
      </c>
      <c r="K141" s="573">
        <v>43133</v>
      </c>
      <c r="L141" s="606" t="s">
        <v>331</v>
      </c>
      <c r="M141" s="356"/>
      <c r="T141" s="334"/>
      <c r="U141" s="334"/>
      <c r="V141" s="334"/>
      <c r="W141" s="334"/>
      <c r="X141" s="334"/>
      <c r="Y141" s="334"/>
      <c r="Z141" s="334"/>
      <c r="AA141" s="334"/>
      <c r="AB141" s="334"/>
      <c r="AC141" s="334"/>
      <c r="AD141" s="310"/>
      <c r="AV141" s="310"/>
      <c r="AW141" s="310"/>
      <c r="AX141" s="310"/>
      <c r="AY141" s="310"/>
      <c r="AZ141" s="310"/>
      <c r="BA141" s="310"/>
      <c r="BB141" s="310"/>
      <c r="BC141" s="310"/>
      <c r="BD141" s="310"/>
      <c r="BE141" s="310"/>
      <c r="BF141" s="310"/>
    </row>
    <row r="142" spans="1:58" ht="35.1" customHeight="1" x14ac:dyDescent="0.2">
      <c r="A142" s="344"/>
      <c r="B142" s="1324"/>
      <c r="C142" s="540" t="s">
        <v>312</v>
      </c>
      <c r="D142" s="1264"/>
      <c r="E142" s="38">
        <v>16901291</v>
      </c>
      <c r="F142" s="38">
        <v>100.01</v>
      </c>
      <c r="G142" s="38">
        <v>0.01</v>
      </c>
      <c r="H142" s="134">
        <v>8.0000000000000002E-3</v>
      </c>
      <c r="I142" s="119">
        <v>1E-3</v>
      </c>
      <c r="J142" s="124">
        <v>2</v>
      </c>
      <c r="K142" s="573">
        <v>43133</v>
      </c>
      <c r="L142" s="606" t="s">
        <v>331</v>
      </c>
      <c r="M142" s="356"/>
      <c r="Q142" s="333"/>
      <c r="R142" s="334"/>
      <c r="S142" s="334"/>
      <c r="T142" s="334"/>
      <c r="U142" s="334"/>
      <c r="V142" s="334"/>
      <c r="W142" s="334"/>
      <c r="X142" s="334"/>
      <c r="Y142" s="334"/>
      <c r="Z142" s="334"/>
      <c r="AA142" s="334"/>
      <c r="AB142" s="334"/>
      <c r="AC142" s="334"/>
      <c r="AD142" s="310"/>
      <c r="AV142" s="310"/>
      <c r="AW142" s="310"/>
      <c r="AX142" s="310"/>
      <c r="AY142" s="310"/>
      <c r="AZ142" s="310"/>
      <c r="BA142" s="310"/>
      <c r="BB142" s="310"/>
      <c r="BC142" s="310"/>
      <c r="BD142" s="310"/>
      <c r="BE142" s="310"/>
      <c r="BF142" s="310"/>
    </row>
    <row r="143" spans="1:58" ht="35.1" customHeight="1" x14ac:dyDescent="0.2">
      <c r="A143" s="344"/>
      <c r="B143" s="1324"/>
      <c r="C143" s="540" t="s">
        <v>313</v>
      </c>
      <c r="D143" s="1264"/>
      <c r="E143" s="38">
        <v>16901291</v>
      </c>
      <c r="F143" s="137">
        <v>150</v>
      </c>
      <c r="G143" s="38">
        <v>0.01</v>
      </c>
      <c r="H143" s="137">
        <v>0</v>
      </c>
      <c r="I143" s="119">
        <v>1E-3</v>
      </c>
      <c r="J143" s="124">
        <v>2</v>
      </c>
      <c r="K143" s="573">
        <v>43133</v>
      </c>
      <c r="L143" s="606" t="s">
        <v>331</v>
      </c>
      <c r="M143" s="356"/>
      <c r="Q143" s="333"/>
      <c r="R143" s="334"/>
      <c r="S143" s="334"/>
      <c r="T143" s="334"/>
      <c r="U143" s="334"/>
      <c r="V143" s="334"/>
      <c r="W143" s="334"/>
      <c r="X143" s="334"/>
      <c r="Y143" s="334"/>
      <c r="Z143" s="334"/>
      <c r="AA143" s="334"/>
      <c r="AB143" s="334"/>
      <c r="AC143" s="334"/>
      <c r="AD143" s="310"/>
      <c r="AV143" s="310"/>
      <c r="AW143" s="310"/>
      <c r="AX143" s="310"/>
      <c r="AY143" s="310"/>
      <c r="AZ143" s="310"/>
      <c r="BA143" s="310"/>
      <c r="BB143" s="310"/>
      <c r="BC143" s="310"/>
      <c r="BD143" s="310"/>
      <c r="BE143" s="310"/>
      <c r="BF143" s="310"/>
    </row>
    <row r="144" spans="1:58" ht="35.1" customHeight="1" thickBot="1" x14ac:dyDescent="0.25">
      <c r="A144" s="344"/>
      <c r="B144" s="1325"/>
      <c r="C144" s="550" t="s">
        <v>314</v>
      </c>
      <c r="D144" s="1265"/>
      <c r="E144" s="42">
        <v>16901291</v>
      </c>
      <c r="F144" s="560">
        <v>200</v>
      </c>
      <c r="G144" s="42">
        <v>0.01</v>
      </c>
      <c r="H144" s="560">
        <v>0</v>
      </c>
      <c r="I144" s="562">
        <v>1E-3</v>
      </c>
      <c r="J144" s="58">
        <v>2</v>
      </c>
      <c r="K144" s="600">
        <v>43133</v>
      </c>
      <c r="L144" s="607" t="s">
        <v>331</v>
      </c>
      <c r="M144" s="356"/>
      <c r="O144" s="377"/>
      <c r="Q144" s="333"/>
      <c r="R144" s="334"/>
      <c r="S144" s="334"/>
      <c r="T144" s="334"/>
      <c r="U144" s="334"/>
      <c r="V144" s="334"/>
      <c r="W144" s="334"/>
      <c r="X144" s="334"/>
      <c r="Y144" s="334"/>
      <c r="Z144" s="334"/>
      <c r="AA144" s="334"/>
      <c r="AB144" s="334"/>
      <c r="AC144" s="334"/>
      <c r="AD144" s="310"/>
      <c r="AH144" s="310"/>
      <c r="AI144" s="366"/>
      <c r="AJ144" s="366"/>
      <c r="AK144" s="366"/>
      <c r="AL144" s="366"/>
      <c r="AM144" s="366"/>
      <c r="AN144" s="366"/>
      <c r="AO144" s="366"/>
      <c r="AP144" s="366"/>
      <c r="AQ144" s="388"/>
      <c r="AR144" s="395"/>
      <c r="AS144" s="366"/>
      <c r="AV144" s="310"/>
      <c r="AW144" s="310"/>
      <c r="AX144" s="310"/>
      <c r="AY144" s="310"/>
      <c r="AZ144" s="310"/>
      <c r="BA144" s="310"/>
      <c r="BB144" s="310"/>
      <c r="BC144" s="310"/>
      <c r="BD144" s="310"/>
      <c r="BE144" s="310"/>
      <c r="BF144" s="310"/>
    </row>
    <row r="145" spans="1:58" ht="35.1" customHeight="1" thickBot="1" x14ac:dyDescent="0.25">
      <c r="A145" s="344"/>
      <c r="B145" s="310"/>
      <c r="C145" s="384"/>
      <c r="D145" s="396"/>
      <c r="E145" s="716"/>
      <c r="F145" s="379"/>
      <c r="G145" s="379"/>
      <c r="H145" s="397"/>
      <c r="I145" s="379"/>
      <c r="J145" s="379"/>
      <c r="K145" s="380"/>
      <c r="L145" s="398"/>
      <c r="P145" s="1227" t="s">
        <v>315</v>
      </c>
      <c r="Q145" s="1228"/>
      <c r="R145" s="1228"/>
      <c r="S145" s="1229"/>
      <c r="X145" s="395"/>
      <c r="Y145" s="395"/>
      <c r="Z145" s="395"/>
      <c r="AA145" s="395"/>
      <c r="AB145" s="395"/>
      <c r="AC145" s="310"/>
      <c r="AD145" s="310"/>
      <c r="AH145" s="310"/>
      <c r="AI145" s="310"/>
      <c r="AJ145" s="310"/>
      <c r="AK145" s="310"/>
      <c r="AL145" s="310"/>
      <c r="AM145" s="310"/>
      <c r="AN145" s="310"/>
      <c r="AO145" s="310"/>
      <c r="AP145" s="310"/>
      <c r="AQ145" s="345"/>
      <c r="AR145" s="310"/>
      <c r="AS145" s="366"/>
      <c r="AV145" s="310"/>
      <c r="AW145" s="310"/>
      <c r="AX145" s="310"/>
      <c r="AY145" s="310"/>
      <c r="AZ145" s="310"/>
      <c r="BA145" s="310"/>
      <c r="BB145" s="310"/>
      <c r="BC145" s="310"/>
      <c r="BD145" s="310"/>
      <c r="BE145" s="310"/>
      <c r="BF145" s="310"/>
    </row>
    <row r="146" spans="1:58" ht="35.1" customHeight="1" thickBot="1" x14ac:dyDescent="0.25">
      <c r="A146" s="344"/>
      <c r="B146" s="1323" t="s">
        <v>203</v>
      </c>
      <c r="C146" s="586" t="s">
        <v>329</v>
      </c>
      <c r="D146" s="1263" t="s">
        <v>278</v>
      </c>
      <c r="E146" s="46">
        <v>16901291</v>
      </c>
      <c r="F146" s="554">
        <v>5</v>
      </c>
      <c r="G146" s="46">
        <v>0.01</v>
      </c>
      <c r="H146" s="554">
        <v>0</v>
      </c>
      <c r="I146" s="556">
        <v>1E-3</v>
      </c>
      <c r="J146" s="646">
        <v>2</v>
      </c>
      <c r="K146" s="569">
        <v>43133</v>
      </c>
      <c r="L146" s="605" t="s">
        <v>331</v>
      </c>
      <c r="M146" s="356"/>
      <c r="P146" s="1260" t="s">
        <v>284</v>
      </c>
      <c r="Q146" s="1261"/>
      <c r="R146" s="1261"/>
      <c r="S146" s="1262"/>
      <c r="Z146" s="310"/>
      <c r="AA146" s="310"/>
      <c r="AB146" s="310"/>
      <c r="AC146" s="310"/>
      <c r="AD146" s="310"/>
      <c r="AH146" s="310"/>
      <c r="AI146" s="310"/>
      <c r="AJ146" s="310"/>
      <c r="AK146" s="310"/>
      <c r="AL146" s="310"/>
      <c r="AM146" s="310"/>
      <c r="AN146" s="310"/>
      <c r="AO146" s="310"/>
      <c r="AP146" s="310"/>
      <c r="AQ146" s="345"/>
      <c r="AR146" s="310"/>
      <c r="AS146" s="395"/>
      <c r="AV146" s="310"/>
      <c r="AW146" s="310"/>
      <c r="AX146" s="310"/>
      <c r="AY146" s="310"/>
      <c r="AZ146" s="310"/>
      <c r="BA146" s="310"/>
      <c r="BB146" s="310"/>
      <c r="BC146" s="310"/>
      <c r="BD146" s="310"/>
      <c r="BE146" s="310"/>
      <c r="BF146" s="310"/>
    </row>
    <row r="147" spans="1:58" ht="35.1" customHeight="1" x14ac:dyDescent="0.2">
      <c r="A147" s="344"/>
      <c r="B147" s="1324"/>
      <c r="C147" s="540" t="s">
        <v>310</v>
      </c>
      <c r="D147" s="1264"/>
      <c r="E147" s="38">
        <v>16901291</v>
      </c>
      <c r="F147" s="137">
        <v>21.51</v>
      </c>
      <c r="G147" s="38">
        <v>0.01</v>
      </c>
      <c r="H147" s="119">
        <v>1E-3</v>
      </c>
      <c r="I147" s="119">
        <v>1E-3</v>
      </c>
      <c r="J147" s="124">
        <v>2</v>
      </c>
      <c r="K147" s="573">
        <v>43133</v>
      </c>
      <c r="L147" s="606" t="s">
        <v>331</v>
      </c>
      <c r="M147" s="356"/>
      <c r="P147" s="610">
        <v>18501</v>
      </c>
      <c r="Q147" s="611" t="s">
        <v>285</v>
      </c>
      <c r="R147" s="611">
        <v>19336.599999999999</v>
      </c>
      <c r="S147" s="612" t="s">
        <v>4</v>
      </c>
      <c r="T147" s="310"/>
      <c r="U147" s="310"/>
      <c r="V147" s="310"/>
      <c r="W147" s="310"/>
      <c r="X147" s="310"/>
      <c r="Y147" s="310"/>
      <c r="Z147" s="310"/>
      <c r="AA147" s="310"/>
      <c r="AB147" s="310"/>
      <c r="AC147" s="310"/>
      <c r="AD147" s="310"/>
      <c r="BD147" s="310"/>
      <c r="BE147" s="310"/>
      <c r="BF147" s="310"/>
    </row>
    <row r="148" spans="1:58" ht="35.1" customHeight="1" x14ac:dyDescent="0.2">
      <c r="A148" s="344"/>
      <c r="B148" s="1324"/>
      <c r="C148" s="540" t="s">
        <v>311</v>
      </c>
      <c r="D148" s="1264"/>
      <c r="E148" s="38">
        <v>16901291</v>
      </c>
      <c r="F148" s="137">
        <v>50.01</v>
      </c>
      <c r="G148" s="38">
        <v>0.01</v>
      </c>
      <c r="H148" s="119">
        <v>1E-3</v>
      </c>
      <c r="I148" s="119">
        <v>1E-3</v>
      </c>
      <c r="J148" s="124">
        <v>2</v>
      </c>
      <c r="K148" s="573">
        <v>43133</v>
      </c>
      <c r="L148" s="606" t="s">
        <v>331</v>
      </c>
      <c r="M148" s="356"/>
      <c r="P148" s="613">
        <v>1128.29</v>
      </c>
      <c r="Q148" s="588" t="s">
        <v>285</v>
      </c>
      <c r="R148" s="588">
        <v>1179.99</v>
      </c>
      <c r="S148" s="614" t="s">
        <v>338</v>
      </c>
      <c r="T148" s="313"/>
      <c r="U148" s="313"/>
      <c r="V148" s="313"/>
      <c r="W148" s="313"/>
      <c r="X148" s="313"/>
      <c r="Y148" s="313"/>
      <c r="Z148" s="313"/>
      <c r="AA148" s="313"/>
      <c r="AB148" s="313"/>
      <c r="AV148" s="310"/>
      <c r="AW148" s="310"/>
      <c r="AX148" s="310"/>
      <c r="AY148" s="310"/>
      <c r="AZ148" s="310"/>
      <c r="BA148" s="310"/>
      <c r="BB148" s="310"/>
      <c r="BC148" s="310"/>
      <c r="BD148" s="310"/>
      <c r="BE148" s="310"/>
      <c r="BF148" s="310"/>
    </row>
    <row r="149" spans="1:58" ht="35.1" customHeight="1" thickBot="1" x14ac:dyDescent="0.25">
      <c r="A149" s="344"/>
      <c r="B149" s="1324"/>
      <c r="C149" s="540" t="s">
        <v>330</v>
      </c>
      <c r="D149" s="1264"/>
      <c r="E149" s="38">
        <v>16901291</v>
      </c>
      <c r="F149" s="137">
        <v>71.510000000000005</v>
      </c>
      <c r="G149" s="38">
        <v>0.01</v>
      </c>
      <c r="H149" s="119">
        <v>1E-3</v>
      </c>
      <c r="I149" s="119">
        <v>1E-3</v>
      </c>
      <c r="J149" s="124">
        <v>2</v>
      </c>
      <c r="K149" s="573">
        <v>43133</v>
      </c>
      <c r="L149" s="606" t="s">
        <v>331</v>
      </c>
      <c r="M149" s="356"/>
      <c r="P149" s="692">
        <v>4.8917000000000002</v>
      </c>
      <c r="Q149" s="693" t="s">
        <v>285</v>
      </c>
      <c r="R149" s="693">
        <v>5.1082000000000001</v>
      </c>
      <c r="S149" s="694" t="s">
        <v>9</v>
      </c>
      <c r="T149" s="313"/>
      <c r="U149" s="313"/>
      <c r="V149" s="313"/>
      <c r="W149" s="313"/>
      <c r="X149" s="313"/>
      <c r="Y149" s="313"/>
      <c r="Z149" s="313"/>
      <c r="AA149" s="313"/>
      <c r="AB149" s="313"/>
      <c r="AV149" s="310"/>
      <c r="AW149" s="310"/>
      <c r="AX149" s="310"/>
      <c r="AY149" s="310"/>
      <c r="AZ149" s="310"/>
      <c r="BA149" s="310"/>
      <c r="BB149" s="310"/>
      <c r="BC149" s="310"/>
      <c r="BD149" s="310"/>
      <c r="BE149" s="310"/>
      <c r="BF149" s="310"/>
    </row>
    <row r="150" spans="1:58" ht="35.1" customHeight="1" thickBot="1" x14ac:dyDescent="0.25">
      <c r="A150" s="344"/>
      <c r="B150" s="1324"/>
      <c r="C150" s="540" t="s">
        <v>312</v>
      </c>
      <c r="D150" s="1264"/>
      <c r="E150" s="38">
        <v>16901291</v>
      </c>
      <c r="F150" s="137">
        <v>100.01</v>
      </c>
      <c r="G150" s="38">
        <v>0.01</v>
      </c>
      <c r="H150" s="119">
        <v>1E-3</v>
      </c>
      <c r="I150" s="119">
        <v>1E-3</v>
      </c>
      <c r="J150" s="124">
        <v>2</v>
      </c>
      <c r="K150" s="573">
        <v>43133</v>
      </c>
      <c r="L150" s="606" t="s">
        <v>331</v>
      </c>
      <c r="M150" s="356"/>
      <c r="P150" s="695" t="s">
        <v>240</v>
      </c>
      <c r="Q150" s="696" t="s">
        <v>4</v>
      </c>
      <c r="R150" s="696" t="s">
        <v>341</v>
      </c>
      <c r="S150" s="696" t="s">
        <v>9</v>
      </c>
      <c r="T150" s="707" t="s">
        <v>336</v>
      </c>
    </row>
    <row r="151" spans="1:58" ht="35.1" customHeight="1" thickBot="1" x14ac:dyDescent="0.25">
      <c r="A151" s="344"/>
      <c r="B151" s="1324"/>
      <c r="C151" s="540" t="s">
        <v>313</v>
      </c>
      <c r="D151" s="1264"/>
      <c r="E151" s="38">
        <v>16901291</v>
      </c>
      <c r="F151" s="137">
        <v>150.01</v>
      </c>
      <c r="G151" s="38">
        <v>0.01</v>
      </c>
      <c r="H151" s="119">
        <v>1E-3</v>
      </c>
      <c r="I151" s="119">
        <v>1E-3</v>
      </c>
      <c r="J151" s="124">
        <v>2</v>
      </c>
      <c r="K151" s="573">
        <v>43133</v>
      </c>
      <c r="L151" s="606" t="s">
        <v>331</v>
      </c>
      <c r="M151" s="356"/>
      <c r="P151" s="375"/>
      <c r="Q151" s="697"/>
      <c r="R151" s="697"/>
      <c r="S151" s="698"/>
      <c r="T151" s="699"/>
    </row>
    <row r="152" spans="1:58" ht="35.1" customHeight="1" thickBot="1" x14ac:dyDescent="0.25">
      <c r="A152" s="344"/>
      <c r="B152" s="1325"/>
      <c r="C152" s="550" t="s">
        <v>314</v>
      </c>
      <c r="D152" s="1265"/>
      <c r="E152" s="42">
        <v>16901291</v>
      </c>
      <c r="F152" s="560">
        <v>200</v>
      </c>
      <c r="G152" s="42">
        <v>0.01</v>
      </c>
      <c r="H152" s="562">
        <v>0</v>
      </c>
      <c r="I152" s="562">
        <v>1E-3</v>
      </c>
      <c r="J152" s="58">
        <v>2</v>
      </c>
      <c r="K152" s="600">
        <v>43133</v>
      </c>
      <c r="L152" s="607" t="s">
        <v>331</v>
      </c>
      <c r="M152" s="356"/>
      <c r="P152" s="704">
        <v>1</v>
      </c>
      <c r="Q152" s="705">
        <v>6.3</v>
      </c>
      <c r="R152" s="603">
        <v>0.38</v>
      </c>
      <c r="S152" s="603">
        <v>1.6999999999999999E-3</v>
      </c>
      <c r="T152" s="706">
        <f>Q152/100</f>
        <v>6.3E-2</v>
      </c>
    </row>
    <row r="153" spans="1:58" ht="35.1" customHeight="1" thickBot="1" x14ac:dyDescent="0.25">
      <c r="A153" s="344"/>
      <c r="B153" s="310"/>
      <c r="C153" s="324"/>
      <c r="D153" s="366"/>
      <c r="E153" s="324"/>
      <c r="F153" s="324"/>
      <c r="G153" s="324"/>
      <c r="H153" s="324"/>
      <c r="I153" s="324"/>
      <c r="J153" s="324"/>
      <c r="K153" s="365"/>
      <c r="L153" s="324"/>
      <c r="M153" s="356"/>
      <c r="P153" s="700"/>
      <c r="Q153" s="701"/>
      <c r="R153" s="702"/>
      <c r="S153" s="702"/>
      <c r="T153" s="703"/>
    </row>
    <row r="154" spans="1:58" ht="35.1" customHeight="1" thickBot="1" x14ac:dyDescent="0.25">
      <c r="A154" s="344"/>
      <c r="B154" s="310"/>
      <c r="C154" s="324"/>
      <c r="D154" s="366"/>
      <c r="E154" s="324"/>
      <c r="F154" s="324"/>
      <c r="G154" s="324"/>
      <c r="H154" s="324"/>
      <c r="I154" s="324"/>
      <c r="J154" s="324"/>
      <c r="K154" s="365"/>
      <c r="L154" s="324"/>
      <c r="M154" s="356"/>
    </row>
    <row r="155" spans="1:58" ht="35.1" customHeight="1" thickBot="1" x14ac:dyDescent="0.25">
      <c r="A155" s="344"/>
      <c r="B155" s="1233" t="s">
        <v>205</v>
      </c>
      <c r="C155" s="1234"/>
      <c r="D155" s="1234"/>
      <c r="E155" s="1234"/>
      <c r="F155" s="1234"/>
      <c r="G155" s="1234"/>
      <c r="H155" s="1234"/>
      <c r="I155" s="1234"/>
      <c r="J155" s="1234"/>
      <c r="K155" s="1234"/>
      <c r="L155" s="1235"/>
      <c r="M155" s="356"/>
    </row>
    <row r="156" spans="1:58" ht="60" customHeight="1" thickBot="1" x14ac:dyDescent="0.25">
      <c r="A156" s="344"/>
      <c r="B156" s="1266" t="s">
        <v>201</v>
      </c>
      <c r="C156" s="310"/>
      <c r="D156" s="372" t="s">
        <v>44</v>
      </c>
      <c r="E156" s="373" t="s">
        <v>270</v>
      </c>
      <c r="F156" s="372" t="s">
        <v>269</v>
      </c>
      <c r="G156" s="372" t="s">
        <v>186</v>
      </c>
      <c r="H156" s="372" t="s">
        <v>238</v>
      </c>
      <c r="I156" s="372" t="s">
        <v>184</v>
      </c>
      <c r="J156" s="372" t="s">
        <v>239</v>
      </c>
      <c r="K156" s="374" t="s">
        <v>185</v>
      </c>
      <c r="L156" s="399" t="s">
        <v>467</v>
      </c>
      <c r="M156" s="356"/>
    </row>
    <row r="157" spans="1:58" ht="35.1" customHeight="1" x14ac:dyDescent="0.25">
      <c r="A157" s="344"/>
      <c r="B157" s="1321"/>
      <c r="C157" s="400"/>
      <c r="D157" s="298"/>
      <c r="E157" s="299"/>
      <c r="F157" s="299"/>
      <c r="G157" s="299"/>
      <c r="H157" s="299"/>
      <c r="I157" s="299"/>
      <c r="J157" s="299"/>
      <c r="K157" s="300"/>
      <c r="L157" s="301"/>
      <c r="M157" s="356"/>
    </row>
    <row r="158" spans="1:58" ht="35.1" customHeight="1" thickBot="1" x14ac:dyDescent="0.25">
      <c r="A158" s="344"/>
      <c r="B158" s="1322"/>
      <c r="C158" s="550" t="s">
        <v>280</v>
      </c>
      <c r="D158" s="608" t="s">
        <v>278</v>
      </c>
      <c r="E158" s="609">
        <v>63091842</v>
      </c>
      <c r="F158" s="647">
        <v>25</v>
      </c>
      <c r="G158" s="647">
        <v>1.2999999999999999E-3</v>
      </c>
      <c r="H158" s="647">
        <v>0</v>
      </c>
      <c r="I158" s="647">
        <v>8.9999999999999993E-3</v>
      </c>
      <c r="J158" s="609">
        <v>2</v>
      </c>
      <c r="K158" s="648">
        <v>43132</v>
      </c>
      <c r="L158" s="649" t="s">
        <v>332</v>
      </c>
      <c r="M158" s="401"/>
    </row>
    <row r="160" spans="1:58" ht="35.1" customHeight="1" thickBot="1" x14ac:dyDescent="0.25">
      <c r="B160" s="403"/>
      <c r="C160" s="404"/>
      <c r="D160" s="405"/>
      <c r="E160" s="406"/>
      <c r="F160" s="406"/>
      <c r="G160" s="406"/>
      <c r="H160" s="406"/>
      <c r="I160" s="406"/>
      <c r="J160" s="406"/>
      <c r="K160" s="407"/>
      <c r="L160" s="408"/>
      <c r="M160" s="409"/>
    </row>
    <row r="161" spans="2:15" ht="51.75" customHeight="1" thickBot="1" x14ac:dyDescent="0.25">
      <c r="B161" s="650" t="s">
        <v>350</v>
      </c>
      <c r="C161" s="651" t="str">
        <f>D111</f>
        <v>Fabricante</v>
      </c>
      <c r="D161" s="652" t="str">
        <f>E36</f>
        <v>Identificación / Serie</v>
      </c>
      <c r="E161" s="652" t="str">
        <f>S54</f>
        <v>Fecha de Calibración</v>
      </c>
      <c r="F161" s="652" t="str">
        <f>T54</f>
        <v>Trazabilidad y numero</v>
      </c>
      <c r="G161" s="652" t="s">
        <v>3</v>
      </c>
      <c r="H161" s="652" t="s">
        <v>351</v>
      </c>
      <c r="I161" s="652" t="s">
        <v>16</v>
      </c>
      <c r="J161" s="652" t="s">
        <v>384</v>
      </c>
      <c r="K161" s="652" t="s">
        <v>385</v>
      </c>
      <c r="L161" s="652" t="s">
        <v>386</v>
      </c>
      <c r="M161" s="652" t="s">
        <v>388</v>
      </c>
      <c r="N161" s="652" t="s">
        <v>387</v>
      </c>
      <c r="O161" s="653" t="s">
        <v>389</v>
      </c>
    </row>
    <row r="162" spans="2:15" ht="35.1" customHeight="1" thickBot="1" x14ac:dyDescent="0.25">
      <c r="B162" s="456"/>
      <c r="C162" s="457"/>
      <c r="D162" s="457"/>
      <c r="E162" s="457"/>
      <c r="F162" s="457"/>
      <c r="G162" s="457"/>
      <c r="H162" s="457"/>
      <c r="I162" s="457"/>
      <c r="J162" s="457"/>
      <c r="K162" s="457"/>
      <c r="L162" s="457"/>
      <c r="M162" s="457"/>
      <c r="N162" s="457"/>
      <c r="O162" s="455"/>
    </row>
    <row r="163" spans="2:15" ht="39.950000000000003" customHeight="1" x14ac:dyDescent="0.2">
      <c r="B163" s="1167" t="str">
        <f>O58</f>
        <v>V-002</v>
      </c>
      <c r="C163" s="730" t="str">
        <f>D56</f>
        <v>Lufft Opus 20</v>
      </c>
      <c r="D163" s="1168" t="str">
        <f>E56</f>
        <v>0,23.0714.0802.024 C-I V-002</v>
      </c>
      <c r="E163" s="1165" t="str">
        <f>S57</f>
        <v>21/05/2019 / - 23/05/2019 -    15/05/2019</v>
      </c>
      <c r="F163" s="1169" t="str">
        <f>T57</f>
        <v>INM  3998- 4006-2313</v>
      </c>
      <c r="G163" s="730">
        <f>P58</f>
        <v>0.3</v>
      </c>
      <c r="H163" s="730">
        <f t="shared" ref="H163:I163" si="0">Q58</f>
        <v>1.7</v>
      </c>
      <c r="I163" s="1094">
        <f t="shared" si="0"/>
        <v>0.31</v>
      </c>
      <c r="J163" s="1170">
        <f>SLOPE(H56:H58,F56:F58)</f>
        <v>7.6498785212423676E-3</v>
      </c>
      <c r="K163" s="1170">
        <f>INTERCEPT(H56:H58,F56:F58)</f>
        <v>-0.21055551907544817</v>
      </c>
      <c r="L163" s="1170">
        <f>SLOPE(H59:H61,F59:F61)</f>
        <v>0.13760217983651227</v>
      </c>
      <c r="M163" s="1170">
        <f>INTERCEPT(H59:H61,F59:F61)</f>
        <v>-7.9455040871934619</v>
      </c>
      <c r="N163" s="1170">
        <f>SLOPE(H62:H64,F62:F64)</f>
        <v>1.5801362733735406E-3</v>
      </c>
      <c r="O163" s="1171">
        <f>INTERCEPT(H62:H64,F62:F64)</f>
        <v>-2.0852978673143219</v>
      </c>
    </row>
    <row r="164" spans="2:15" ht="39.950000000000003" customHeight="1" x14ac:dyDescent="0.2">
      <c r="B164" s="1172" t="str">
        <f>O90</f>
        <v>M-010</v>
      </c>
      <c r="C164" s="747" t="str">
        <f>D89</f>
        <v>Lufft Opus 20</v>
      </c>
      <c r="D164" s="1173" t="str">
        <f>E89</f>
        <v>0,26.0714.0802.024 C-I M-010</v>
      </c>
      <c r="E164" s="1166" t="str">
        <f>S89</f>
        <v>14/05/2019- 15/05/2019    15/05/2019</v>
      </c>
      <c r="F164" s="1174" t="str">
        <f>T89</f>
        <v>INM 3985 - INM 3987 -   INM 2314</v>
      </c>
      <c r="G164" s="743">
        <f>P90</f>
        <v>0.3</v>
      </c>
      <c r="H164" s="743">
        <f t="shared" ref="H164:I164" si="1">Q90</f>
        <v>1.7</v>
      </c>
      <c r="I164" s="774">
        <f t="shared" si="1"/>
        <v>0.34</v>
      </c>
      <c r="J164" s="1175">
        <f>SLOPE(H89:H91,F89:F91)</f>
        <v>3.6000822875951452E-2</v>
      </c>
      <c r="K164" s="1175">
        <f>INTERCEPT(H89:H91,F89:F91)</f>
        <v>-0.76495234176781179</v>
      </c>
      <c r="L164" s="1175">
        <f>SLOPE(H92:H94,F92:F94)</f>
        <v>0.14610357623723358</v>
      </c>
      <c r="M164" s="1175">
        <f>INTERCEPT(H92:H94,F92:F94)</f>
        <v>-8.5658927457226355</v>
      </c>
      <c r="N164" s="1175">
        <f>SLOPE(H95:H97,F95:F97)</f>
        <v>1.1102903418968183E-3</v>
      </c>
      <c r="O164" s="1176">
        <f>INTERCEPT(H95:H97,F95:F97)</f>
        <v>-1.6983583226282657</v>
      </c>
    </row>
    <row r="165" spans="2:15" ht="39.950000000000003" customHeight="1" x14ac:dyDescent="0.2">
      <c r="B165" s="1172" t="str">
        <f>O101</f>
        <v>M-011</v>
      </c>
      <c r="C165" s="747" t="str">
        <f>D100</f>
        <v>Lufft Opus 20</v>
      </c>
      <c r="D165" s="1173" t="str">
        <f>E100</f>
        <v>0,22.0714.0802.024</v>
      </c>
      <c r="E165" s="1166" t="str">
        <f>S100</f>
        <v>14/05/2019 -/  15/05/2019 -   15/05/2019</v>
      </c>
      <c r="F165" s="1174" t="str">
        <f>T100</f>
        <v>INM-3986-INM 3988-INM 2315</v>
      </c>
      <c r="G165" s="774">
        <f>P101</f>
        <v>0.3</v>
      </c>
      <c r="H165" s="774">
        <f t="shared" ref="H165:I165" si="2">Q101</f>
        <v>1.7</v>
      </c>
      <c r="I165" s="774">
        <f t="shared" si="2"/>
        <v>0.11</v>
      </c>
      <c r="J165" s="1175">
        <f>SLOPE(H100:H102,F100:F102)</f>
        <v>1.3789480596230877E-2</v>
      </c>
      <c r="K165" s="1175">
        <f>INTERCEPT(H100:H102,F100:F102)</f>
        <v>-0.31945630047934864</v>
      </c>
      <c r="L165" s="1175">
        <f>SLOPE(H103:H105,F103:F105)</f>
        <v>0.15265797836413364</v>
      </c>
      <c r="M165" s="1175">
        <f>INTERCEPT(H103:H105,F103:F105)</f>
        <v>-8.8239788291829537</v>
      </c>
      <c r="N165" s="1175">
        <f>SLOPE(H106:H108,F106:F108)</f>
        <v>2.5813149339457058E-3</v>
      </c>
      <c r="O165" s="1176">
        <f>INTERCEPT(H106:H108,F106:F108)</f>
        <v>-2.8012761658278418</v>
      </c>
    </row>
    <row r="166" spans="2:15" ht="39.950000000000003" customHeight="1" x14ac:dyDescent="0.2">
      <c r="B166" s="1172" t="str">
        <f>O68</f>
        <v xml:space="preserve">M-012  </v>
      </c>
      <c r="C166" s="747" t="str">
        <f>D67</f>
        <v>Lufft Opus 20</v>
      </c>
      <c r="D166" s="1173" t="str">
        <f>E67</f>
        <v>19506160802033 C-I M-012</v>
      </c>
      <c r="E166" s="1166" t="str">
        <f>S67</f>
        <v>21/05/2019 /- 23/05/2019 -/  02/05/2019</v>
      </c>
      <c r="F166" s="1174" t="str">
        <f>T67</f>
        <v>INM-3997, INM 4005 - INM 2316</v>
      </c>
      <c r="G166" s="774">
        <f>P68</f>
        <v>0.4</v>
      </c>
      <c r="H166" s="774">
        <f t="shared" ref="H166:I166" si="3">Q68</f>
        <v>1.7</v>
      </c>
      <c r="I166" s="774">
        <f t="shared" si="3"/>
        <v>0.56999999999999995</v>
      </c>
      <c r="J166" s="1175">
        <f>SLOPE(H67:H69,F67:F69)</f>
        <v>2.7153152443586816E-2</v>
      </c>
      <c r="K166" s="1175">
        <f>INTERCEPT(H67:H69,F67:F69)</f>
        <v>-0.60311109360847481</v>
      </c>
      <c r="L166" s="1175">
        <f>SLOPE(H70:H72,F70:F72)</f>
        <v>0.12702668198646755</v>
      </c>
      <c r="M166" s="1175">
        <f>INTERCEPT(H70:H72,F70:F72)</f>
        <v>-6.9481807736499448</v>
      </c>
      <c r="N166" s="1175">
        <f>SLOPE(H73:H75,F73:F75)</f>
        <v>1.9899325989336312E-3</v>
      </c>
      <c r="O166" s="1176">
        <f>INTERCEPT(H73:H75,F73:F75)</f>
        <v>-2.4093630913706812</v>
      </c>
    </row>
    <row r="167" spans="2:15" ht="39.950000000000003" customHeight="1" thickBot="1" x14ac:dyDescent="0.25">
      <c r="B167" s="1177" t="str">
        <f>O79</f>
        <v xml:space="preserve">M-013  </v>
      </c>
      <c r="C167" s="745" t="str">
        <f>D78</f>
        <v>Lufft Opus 20</v>
      </c>
      <c r="D167" s="1178" t="str">
        <f>E78</f>
        <v>19406160802033 C-I M-013</v>
      </c>
      <c r="E167" s="1179" t="str">
        <f>S78</f>
        <v>2019-09-24 - / 2019-09-25 -    2019-08-25</v>
      </c>
      <c r="F167" s="1180" t="str">
        <f>T78</f>
        <v>INM 4216 - INM 4217 -  INM 2346</v>
      </c>
      <c r="G167" s="749">
        <f>P79</f>
        <v>0.3</v>
      </c>
      <c r="H167" s="749">
        <f t="shared" ref="H167:I167" si="4">Q79</f>
        <v>1.7</v>
      </c>
      <c r="I167" s="749">
        <f t="shared" si="4"/>
        <v>0.28999999999999998</v>
      </c>
      <c r="J167" s="1181">
        <f>SLOPE(H78:H80,F78:F80)</f>
        <v>1.3499905595065769E-2</v>
      </c>
      <c r="K167" s="1181">
        <f>INTERCEPT(H78:H80,F78:F80)</f>
        <v>-0.31364780665869468</v>
      </c>
      <c r="L167" s="1181">
        <f>SLOPE(H81:H83,F81:F83)</f>
        <v>0.101903287496585</v>
      </c>
      <c r="M167" s="1181">
        <f>INTERCEPT(H81:H83,F81:F83)</f>
        <v>-5.6461160185775423</v>
      </c>
      <c r="N167" s="1181">
        <f>SLOPE(H84:H86,F84:F86)</f>
        <v>1.1125130090065254E-3</v>
      </c>
      <c r="O167" s="1182">
        <f>INTERCEPT(H84:H86,F84:F86)</f>
        <v>-1.8509982843560584</v>
      </c>
    </row>
    <row r="229" spans="74:77" ht="35.1" customHeight="1" x14ac:dyDescent="0.25">
      <c r="BV229" s="320"/>
      <c r="BW229" s="320"/>
      <c r="BX229" s="320"/>
      <c r="BY229" s="320"/>
    </row>
    <row r="230" spans="74:77" ht="35.1" customHeight="1" x14ac:dyDescent="0.25">
      <c r="BV230" s="320"/>
      <c r="BW230" s="320"/>
      <c r="BX230" s="320"/>
      <c r="BY230" s="320"/>
    </row>
    <row r="231" spans="74:77" ht="35.1" customHeight="1" x14ac:dyDescent="0.25">
      <c r="BV231" s="320"/>
      <c r="BW231" s="320"/>
      <c r="BX231" s="320"/>
      <c r="BY231" s="320"/>
    </row>
    <row r="232" spans="74:77" ht="35.1" customHeight="1" x14ac:dyDescent="0.25">
      <c r="BV232" s="320"/>
      <c r="BW232" s="320"/>
      <c r="BX232" s="320"/>
      <c r="BY232" s="320"/>
    </row>
  </sheetData>
  <sheetProtection password="CF7A" sheet="1" objects="1" scenarios="1"/>
  <dataConsolidate/>
  <mergeCells count="143">
    <mergeCell ref="D44:D48"/>
    <mergeCell ref="S67:S69"/>
    <mergeCell ref="C53:T53"/>
    <mergeCell ref="O54:O55"/>
    <mergeCell ref="P54:R55"/>
    <mergeCell ref="S54:S55"/>
    <mergeCell ref="T54:T55"/>
    <mergeCell ref="S57:S59"/>
    <mergeCell ref="J89:J91"/>
    <mergeCell ref="C51:T52"/>
    <mergeCell ref="J59:J61"/>
    <mergeCell ref="K59:K61"/>
    <mergeCell ref="K62:K64"/>
    <mergeCell ref="J62:J64"/>
    <mergeCell ref="L62:L64"/>
    <mergeCell ref="T57:T59"/>
    <mergeCell ref="O58:O59"/>
    <mergeCell ref="L59:L61"/>
    <mergeCell ref="T67:T69"/>
    <mergeCell ref="K78:K80"/>
    <mergeCell ref="L44:L48"/>
    <mergeCell ref="K67:K69"/>
    <mergeCell ref="L67:L69"/>
    <mergeCell ref="J70:J72"/>
    <mergeCell ref="U111:V111"/>
    <mergeCell ref="U109:V109"/>
    <mergeCell ref="S100:S102"/>
    <mergeCell ref="C78:C86"/>
    <mergeCell ref="D78:D86"/>
    <mergeCell ref="E78:E86"/>
    <mergeCell ref="J78:J80"/>
    <mergeCell ref="J95:J97"/>
    <mergeCell ref="K95:K97"/>
    <mergeCell ref="L95:L97"/>
    <mergeCell ref="T100:T102"/>
    <mergeCell ref="S78:S80"/>
    <mergeCell ref="J103:J105"/>
    <mergeCell ref="K103:K105"/>
    <mergeCell ref="L103:L105"/>
    <mergeCell ref="T78:T80"/>
    <mergeCell ref="O79:O80"/>
    <mergeCell ref="L92:L94"/>
    <mergeCell ref="E100:E108"/>
    <mergeCell ref="J100:J102"/>
    <mergeCell ref="P110:S110"/>
    <mergeCell ref="P109:S109"/>
    <mergeCell ref="T89:T91"/>
    <mergeCell ref="O119:R119"/>
    <mergeCell ref="B120:B127"/>
    <mergeCell ref="B111:B117"/>
    <mergeCell ref="O120:P120"/>
    <mergeCell ref="L70:L72"/>
    <mergeCell ref="A78:B80"/>
    <mergeCell ref="C89:C97"/>
    <mergeCell ref="O101:O102"/>
    <mergeCell ref="K100:K102"/>
    <mergeCell ref="L100:L102"/>
    <mergeCell ref="O90:O91"/>
    <mergeCell ref="K89:K91"/>
    <mergeCell ref="L89:L91"/>
    <mergeCell ref="A100:B102"/>
    <mergeCell ref="C100:C108"/>
    <mergeCell ref="D100:D108"/>
    <mergeCell ref="B119:L119"/>
    <mergeCell ref="A106:B108"/>
    <mergeCell ref="J106:J108"/>
    <mergeCell ref="K106:K108"/>
    <mergeCell ref="L106:L108"/>
    <mergeCell ref="A92:B94"/>
    <mergeCell ref="J92:J94"/>
    <mergeCell ref="A70:B72"/>
    <mergeCell ref="K70:K72"/>
    <mergeCell ref="A89:B91"/>
    <mergeCell ref="L73:L75"/>
    <mergeCell ref="L84:L86"/>
    <mergeCell ref="J84:J86"/>
    <mergeCell ref="A95:B97"/>
    <mergeCell ref="A81:B83"/>
    <mergeCell ref="J81:J83"/>
    <mergeCell ref="K81:K83"/>
    <mergeCell ref="L81:L83"/>
    <mergeCell ref="D89:D97"/>
    <mergeCell ref="A103:B105"/>
    <mergeCell ref="K92:K94"/>
    <mergeCell ref="A84:B86"/>
    <mergeCell ref="K84:K86"/>
    <mergeCell ref="E89:E97"/>
    <mergeCell ref="B156:B158"/>
    <mergeCell ref="B146:B152"/>
    <mergeCell ref="B138:B144"/>
    <mergeCell ref="B135:L135"/>
    <mergeCell ref="B129:L129"/>
    <mergeCell ref="B155:L155"/>
    <mergeCell ref="D138:D144"/>
    <mergeCell ref="B110:M110"/>
    <mergeCell ref="P145:S145"/>
    <mergeCell ref="P146:S146"/>
    <mergeCell ref="D146:D152"/>
    <mergeCell ref="B130:B132"/>
    <mergeCell ref="A56:B58"/>
    <mergeCell ref="C56:C64"/>
    <mergeCell ref="D56:D64"/>
    <mergeCell ref="E56:E64"/>
    <mergeCell ref="J56:J58"/>
    <mergeCell ref="K56:K58"/>
    <mergeCell ref="L56:L58"/>
    <mergeCell ref="A62:B64"/>
    <mergeCell ref="A59:B61"/>
    <mergeCell ref="L78:L80"/>
    <mergeCell ref="S89:S91"/>
    <mergeCell ref="A67:B69"/>
    <mergeCell ref="C67:C75"/>
    <mergeCell ref="D67:D75"/>
    <mergeCell ref="E67:E75"/>
    <mergeCell ref="J67:J69"/>
    <mergeCell ref="A73:B75"/>
    <mergeCell ref="J73:J75"/>
    <mergeCell ref="K73:K75"/>
    <mergeCell ref="O68:O69"/>
    <mergeCell ref="T35:V35"/>
    <mergeCell ref="E1:V1"/>
    <mergeCell ref="T37:T41"/>
    <mergeCell ref="T42:V42"/>
    <mergeCell ref="T44:T49"/>
    <mergeCell ref="T28:V28"/>
    <mergeCell ref="V30:V31"/>
    <mergeCell ref="S30:S31"/>
    <mergeCell ref="T30:T31"/>
    <mergeCell ref="Q8:U8"/>
    <mergeCell ref="S9:U9"/>
    <mergeCell ref="P7:U7"/>
    <mergeCell ref="Q9:R9"/>
    <mergeCell ref="T14:V14"/>
    <mergeCell ref="B35:L35"/>
    <mergeCell ref="B28:L28"/>
    <mergeCell ref="B21:M21"/>
    <mergeCell ref="D5:N5"/>
    <mergeCell ref="B11:N12"/>
    <mergeCell ref="L38:L42"/>
    <mergeCell ref="B29:B32"/>
    <mergeCell ref="B44:B48"/>
    <mergeCell ref="B38:B42"/>
    <mergeCell ref="D38:D42"/>
  </mergeCells>
  <dataValidations count="2">
    <dataValidation type="list" allowBlank="1" showInputMessage="1" showErrorMessage="1" sqref="H14">
      <formula1>$P$112:$P$116</formula1>
    </dataValidation>
    <dataValidation type="list" allowBlank="1" showInputMessage="1" showErrorMessage="1" sqref="J14">
      <formula1>$U$113:$U$115</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rowBreaks count="2" manualBreakCount="2">
    <brk id="50" max="21" man="1"/>
    <brk id="108" max="21" man="1"/>
  </rowBreaks>
  <ignoredErrors>
    <ignoredError sqref="P58:R58 P68:R68 P79:R79 P90:R90 P101:R101 J163:J167 K163:K167 L163:L167 M163:M167 N163:N1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L125"/>
  <sheetViews>
    <sheetView showGridLines="0" tabSelected="1" view="pageBreakPreview" zoomScale="70" zoomScaleNormal="40" zoomScaleSheetLayoutView="70" workbookViewId="0">
      <selection activeCell="H39" sqref="H39"/>
    </sheetView>
  </sheetViews>
  <sheetFormatPr baseColWidth="10" defaultRowHeight="14.25" x14ac:dyDescent="0.2"/>
  <cols>
    <col min="1" max="1" width="20.7109375" style="54" customWidth="1"/>
    <col min="2" max="2" width="18" style="54" customWidth="1"/>
    <col min="3" max="3" width="14.5703125" style="54" customWidth="1"/>
    <col min="4" max="4" width="15.28515625" style="54" customWidth="1"/>
    <col min="5" max="5" width="14.28515625" style="54" customWidth="1"/>
    <col min="6" max="6" width="11.5703125" style="54" customWidth="1"/>
    <col min="7" max="7" width="13.140625" style="54" customWidth="1"/>
    <col min="8" max="8" width="12.7109375" style="54" customWidth="1"/>
    <col min="9" max="9" width="13.85546875" style="54" customWidth="1"/>
    <col min="10" max="12" width="12.7109375" style="54" customWidth="1"/>
    <col min="13" max="13" width="17.140625" style="54" customWidth="1"/>
    <col min="14" max="14" width="13.7109375" style="54" customWidth="1"/>
    <col min="15" max="15" width="21" style="54" customWidth="1"/>
    <col min="16" max="16" width="13" style="54" customWidth="1"/>
    <col min="17" max="17" width="13.5703125" style="54" customWidth="1"/>
    <col min="18" max="18" width="11.5703125" style="54" customWidth="1"/>
    <col min="19" max="24" width="11.42578125" style="54"/>
    <col min="25" max="25" width="11.7109375" style="54" customWidth="1"/>
    <col min="26" max="16384" width="11.42578125" style="54"/>
  </cols>
  <sheetData>
    <row r="1" spans="1:19" s="2" customFormat="1" ht="75" customHeight="1" thickBot="1" x14ac:dyDescent="0.3">
      <c r="A1" s="1536"/>
      <c r="B1" s="1537"/>
      <c r="C1" s="1"/>
      <c r="D1" s="1538" t="s">
        <v>382</v>
      </c>
      <c r="E1" s="1539"/>
      <c r="F1" s="1539"/>
      <c r="G1" s="1539"/>
      <c r="H1" s="1539"/>
      <c r="I1" s="1539"/>
      <c r="J1" s="1539"/>
      <c r="K1" s="1539"/>
      <c r="L1" s="1539"/>
      <c r="M1" s="1539"/>
      <c r="N1" s="1539"/>
      <c r="O1" s="1539"/>
      <c r="P1" s="1539"/>
      <c r="Q1" s="1539"/>
      <c r="R1" s="1540"/>
      <c r="S1" s="721"/>
    </row>
    <row r="2" spans="1:19" s="6" customFormat="1" ht="5.0999999999999996" customHeight="1" thickBot="1" x14ac:dyDescent="0.3">
      <c r="A2" s="3"/>
      <c r="B2" s="3"/>
      <c r="C2" s="4"/>
      <c r="D2" s="5"/>
      <c r="E2" s="5"/>
      <c r="F2" s="5"/>
      <c r="G2" s="5"/>
      <c r="H2" s="5"/>
      <c r="I2" s="5"/>
      <c r="J2" s="5"/>
      <c r="K2" s="5"/>
      <c r="L2" s="5"/>
      <c r="M2" s="5"/>
      <c r="N2" s="5"/>
      <c r="O2" s="5"/>
      <c r="P2" s="5"/>
      <c r="Q2" s="5"/>
      <c r="R2" s="5"/>
    </row>
    <row r="3" spans="1:19" s="7" customFormat="1" ht="30" customHeight="1" thickBot="1" x14ac:dyDescent="0.3">
      <c r="A3" s="61" t="s">
        <v>53</v>
      </c>
      <c r="B3" s="724" t="e">
        <f>VLOOKUP($S3,DATOS°!$D$7:$N$19,2,FALSE)</f>
        <v>#N/A</v>
      </c>
      <c r="C3" s="62" t="s">
        <v>198</v>
      </c>
      <c r="D3" s="1541" t="e">
        <f>VLOOKUP($S$3,DATOS°!$D$7:$N$19,3,FALSE)</f>
        <v>#N/A</v>
      </c>
      <c r="E3" s="1542"/>
      <c r="F3" s="63" t="s">
        <v>380</v>
      </c>
      <c r="G3" s="1543" t="e">
        <f>VLOOKUP($S$3,DATOS°!$D$7:$N$19,7,FALSE)</f>
        <v>#N/A</v>
      </c>
      <c r="H3" s="1543"/>
      <c r="I3" s="63" t="s">
        <v>199</v>
      </c>
      <c r="J3" s="1543" t="e">
        <f>VLOOKUP($S$3,DATOS°!$D$7:$N$19,4,FALSE)</f>
        <v>#N/A</v>
      </c>
      <c r="K3" s="1543"/>
      <c r="L3" s="63" t="s">
        <v>30</v>
      </c>
      <c r="M3" s="1541" t="e">
        <f>VLOOKUP($S$3,DATOS°!$D$7:$N$19,6,FALSE)</f>
        <v>#N/A</v>
      </c>
      <c r="N3" s="1542"/>
      <c r="O3" s="63" t="s">
        <v>200</v>
      </c>
      <c r="P3" s="1543" t="e">
        <f>VLOOKUP($S$3,DATOS°!$D$7:$N$19,11,FALSE)</f>
        <v>#N/A</v>
      </c>
      <c r="Q3" s="1543"/>
      <c r="R3" s="1544"/>
      <c r="S3" s="148"/>
    </row>
    <row r="4" spans="1:19" s="7" customFormat="1" ht="5.0999999999999996" customHeight="1" thickBot="1" x14ac:dyDescent="0.3"/>
    <row r="5" spans="1:19" s="7" customFormat="1" ht="30" customHeight="1" thickBot="1" x14ac:dyDescent="0.3">
      <c r="A5" s="1561" t="s">
        <v>67</v>
      </c>
      <c r="B5" s="1562"/>
      <c r="C5" s="1562"/>
      <c r="D5" s="1562"/>
      <c r="E5" s="1562"/>
      <c r="F5" s="1562"/>
      <c r="G5" s="1562"/>
      <c r="H5" s="1562"/>
      <c r="I5" s="1562"/>
      <c r="J5" s="1562"/>
      <c r="K5" s="1562"/>
      <c r="L5" s="1562"/>
      <c r="M5" s="1562"/>
      <c r="N5" s="1562"/>
      <c r="O5" s="1562"/>
      <c r="P5" s="1562"/>
      <c r="Q5" s="1562"/>
      <c r="R5" s="1563"/>
    </row>
    <row r="6" spans="1:19" s="2" customFormat="1" ht="50.1" customHeight="1" thickBot="1" x14ac:dyDescent="0.3">
      <c r="A6" s="984" t="s">
        <v>14</v>
      </c>
      <c r="B6" s="979" t="s">
        <v>187</v>
      </c>
      <c r="C6" s="150" t="s">
        <v>189</v>
      </c>
      <c r="D6" s="150" t="s">
        <v>68</v>
      </c>
      <c r="E6" s="150" t="s">
        <v>186</v>
      </c>
      <c r="F6" s="150" t="s">
        <v>68</v>
      </c>
      <c r="G6" s="150" t="s">
        <v>188</v>
      </c>
      <c r="H6" s="150" t="s">
        <v>68</v>
      </c>
      <c r="I6" s="150" t="s">
        <v>184</v>
      </c>
      <c r="J6" s="150" t="s">
        <v>68</v>
      </c>
      <c r="K6" s="151" t="s">
        <v>69</v>
      </c>
      <c r="L6" s="150" t="s">
        <v>68</v>
      </c>
      <c r="M6" s="150" t="s">
        <v>381</v>
      </c>
      <c r="N6" s="150" t="s">
        <v>68</v>
      </c>
      <c r="O6" s="150" t="s">
        <v>190</v>
      </c>
      <c r="P6" s="150" t="s">
        <v>185</v>
      </c>
      <c r="Q6" s="1564" t="s">
        <v>207</v>
      </c>
      <c r="R6" s="1565"/>
    </row>
    <row r="7" spans="1:19" s="2" customFormat="1" ht="29.25" customHeight="1" thickBot="1" x14ac:dyDescent="0.3">
      <c r="A7" s="985" t="s">
        <v>1</v>
      </c>
      <c r="B7" s="980" t="e">
        <f>VLOOKUP(S7,DATOS°!C31:K33,3,FALSE)</f>
        <v>#N/A</v>
      </c>
      <c r="C7" s="81" t="e">
        <f>VLOOKUP(S7,DATOS°!C31:K33,4,FALSE)</f>
        <v>#N/A</v>
      </c>
      <c r="D7" s="82" t="s">
        <v>4</v>
      </c>
      <c r="E7" s="83" t="e">
        <f>VLOOKUP(S7,DATOS°!C31:K33,5,FALSE)</f>
        <v>#N/A</v>
      </c>
      <c r="F7" s="82" t="s">
        <v>4</v>
      </c>
      <c r="G7" s="81" t="e">
        <f>VLOOKUP(S7,DATOS°!C31:K33,6,FALSE)</f>
        <v>#N/A</v>
      </c>
      <c r="H7" s="82" t="s">
        <v>70</v>
      </c>
      <c r="I7" s="1066" t="e">
        <f>VLOOKUP(S7,DATOS°!C31:K33,7,FALSE)</f>
        <v>#N/A</v>
      </c>
      <c r="J7" s="82" t="s">
        <v>4</v>
      </c>
      <c r="K7" s="1113" t="e">
        <f>SQRT((I7*0.5))^2+(((DATOS°!T30*0.5)+(I7*0.5))/2)^2/SQRT(12)</f>
        <v>#N/A</v>
      </c>
      <c r="L7" s="82" t="s">
        <v>4</v>
      </c>
      <c r="M7" s="918" t="e">
        <f t="shared" ref="M7:M10" si="0">SQRT((I7/2)^2+(K7)^2)</f>
        <v>#N/A</v>
      </c>
      <c r="N7" s="82" t="s">
        <v>4</v>
      </c>
      <c r="O7" s="83" t="e">
        <f>VLOOKUP(S7,DATOS°!C31:K33,8,FALSE)</f>
        <v>#N/A</v>
      </c>
      <c r="P7" s="88" t="e">
        <f>VLOOKUP(S7,DATOS°!C31:K33,9,FALSE)</f>
        <v>#N/A</v>
      </c>
      <c r="Q7" s="84"/>
      <c r="R7" s="152"/>
      <c r="S7" s="172"/>
    </row>
    <row r="8" spans="1:19" s="2" customFormat="1" ht="30" customHeight="1" x14ac:dyDescent="0.25">
      <c r="A8" s="1566" t="s">
        <v>71</v>
      </c>
      <c r="B8" s="981" t="e">
        <f>VLOOKUP(S8,DATOS°!$C$39:$K$48,3,FALSE)</f>
        <v>#N/A</v>
      </c>
      <c r="C8" s="85" t="e">
        <f>VLOOKUP(S8,DATOS°!$C$37:$K$50,4,FALSE)</f>
        <v>#N/A</v>
      </c>
      <c r="D8" s="663" t="s">
        <v>3</v>
      </c>
      <c r="E8" s="85" t="e">
        <f>VLOOKUP(S8,DATOS°!$C$37:$K$50,5,FALSE)</f>
        <v>#N/A</v>
      </c>
      <c r="F8" s="86" t="s">
        <v>3</v>
      </c>
      <c r="G8" s="85" t="e">
        <f>VLOOKUP(S8,DATOS°!$C$37:$K$50,6,FALSE)</f>
        <v>#N/A</v>
      </c>
      <c r="H8" s="86" t="s">
        <v>3</v>
      </c>
      <c r="I8" s="85" t="e">
        <f>VLOOKUP(S8,DATOS°!$C$37:$K$50,7,FALSE)</f>
        <v>#N/A</v>
      </c>
      <c r="J8" s="86" t="s">
        <v>3</v>
      </c>
      <c r="K8" s="1074" t="e">
        <f t="shared" ref="K8:K17" si="1">(I8/2)/SQRT(12)</f>
        <v>#N/A</v>
      </c>
      <c r="L8" s="86" t="s">
        <v>3</v>
      </c>
      <c r="M8" s="918" t="e">
        <f t="shared" si="0"/>
        <v>#N/A</v>
      </c>
      <c r="N8" s="86" t="s">
        <v>3</v>
      </c>
      <c r="O8" s="87" t="e">
        <f>VLOOKUP(S8,DATOS°!$C$37:$K$50,8,FALSE)</f>
        <v>#N/A</v>
      </c>
      <c r="P8" s="88" t="e">
        <f>VLOOKUP(S8,DATOS°!$C$37:$K$50,9,FALSE)</f>
        <v>#N/A</v>
      </c>
      <c r="Q8" s="8"/>
      <c r="R8" s="153"/>
      <c r="S8" s="509"/>
    </row>
    <row r="9" spans="1:19" s="2" customFormat="1" ht="30" customHeight="1" x14ac:dyDescent="0.25">
      <c r="A9" s="1567"/>
      <c r="B9" s="981" t="e">
        <f>VLOOKUP(S9,DATOS°!$C$39:$K$48,3,FALSE)</f>
        <v>#N/A</v>
      </c>
      <c r="C9" s="85" t="e">
        <f>VLOOKUP(S9,DATOS°!$C$37:$K$50,4,FALSE)</f>
        <v>#N/A</v>
      </c>
      <c r="D9" s="663" t="s">
        <v>3</v>
      </c>
      <c r="E9" s="85" t="e">
        <f>VLOOKUP(S9,DATOS°!$C$37:$K$50,5,FALSE)</f>
        <v>#N/A</v>
      </c>
      <c r="F9" s="86" t="s">
        <v>3</v>
      </c>
      <c r="G9" s="85" t="e">
        <f>VLOOKUP(S9,DATOS°!$C$37:$K$50,6,FALSE)</f>
        <v>#N/A</v>
      </c>
      <c r="H9" s="86" t="s">
        <v>3</v>
      </c>
      <c r="I9" s="85" t="e">
        <f>VLOOKUP(S9,DATOS°!$C$37:$K$50,7,FALSE)</f>
        <v>#N/A</v>
      </c>
      <c r="J9" s="86" t="s">
        <v>3</v>
      </c>
      <c r="K9" s="915" t="e">
        <f t="shared" si="1"/>
        <v>#N/A</v>
      </c>
      <c r="L9" s="86" t="s">
        <v>3</v>
      </c>
      <c r="M9" s="918" t="e">
        <f t="shared" si="0"/>
        <v>#N/A</v>
      </c>
      <c r="N9" s="86" t="s">
        <v>3</v>
      </c>
      <c r="O9" s="87" t="e">
        <f>VLOOKUP(S9,DATOS°!$C$37:$K$50,8,FALSE)</f>
        <v>#N/A</v>
      </c>
      <c r="P9" s="88" t="e">
        <f>VLOOKUP(S9,DATOS°!$C$37:$K$50,9,FALSE)</f>
        <v>#N/A</v>
      </c>
      <c r="Q9" s="89"/>
      <c r="R9" s="722"/>
      <c r="S9" s="285"/>
    </row>
    <row r="10" spans="1:19" s="2" customFormat="1" ht="30" customHeight="1" x14ac:dyDescent="0.25">
      <c r="A10" s="1567"/>
      <c r="B10" s="981" t="e">
        <f>VLOOKUP(S10,DATOS°!$C$39:$K$48,3,FALSE)</f>
        <v>#N/A</v>
      </c>
      <c r="C10" s="85" t="e">
        <f>VLOOKUP(S10,DATOS°!$C$37:$K$50,4,FALSE)</f>
        <v>#N/A</v>
      </c>
      <c r="D10" s="663" t="s">
        <v>3</v>
      </c>
      <c r="E10" s="85" t="e">
        <f>VLOOKUP(S10,DATOS°!$C$37:$K$50,5,FALSE)</f>
        <v>#N/A</v>
      </c>
      <c r="F10" s="86" t="s">
        <v>255</v>
      </c>
      <c r="G10" s="85" t="e">
        <f>VLOOKUP(S10,DATOS°!$C$37:$K$50,6,FALSE)</f>
        <v>#N/A</v>
      </c>
      <c r="H10" s="86" t="s">
        <v>3</v>
      </c>
      <c r="I10" s="914" t="e">
        <f>VLOOKUP(S10,DATOS°!$C$37:$K$50,7,FALSE)</f>
        <v>#N/A</v>
      </c>
      <c r="J10" s="86" t="s">
        <v>3</v>
      </c>
      <c r="K10" s="915" t="e">
        <f t="shared" si="1"/>
        <v>#N/A</v>
      </c>
      <c r="L10" s="86" t="s">
        <v>3</v>
      </c>
      <c r="M10" s="918" t="e">
        <f t="shared" si="0"/>
        <v>#N/A</v>
      </c>
      <c r="N10" s="86" t="s">
        <v>3</v>
      </c>
      <c r="O10" s="87" t="e">
        <f>VLOOKUP(S10,DATOS°!$C$37:$K$50,8,FALSE)</f>
        <v>#N/A</v>
      </c>
      <c r="P10" s="88" t="e">
        <f>VLOOKUP(S10,DATOS°!$C$37:$K$50,9,FALSE)</f>
        <v>#N/A</v>
      </c>
      <c r="Q10" s="89"/>
      <c r="R10" s="153"/>
      <c r="S10" s="285"/>
    </row>
    <row r="11" spans="1:19" s="6" customFormat="1" ht="30" customHeight="1" x14ac:dyDescent="0.25">
      <c r="A11" s="1567"/>
      <c r="B11" s="981" t="e">
        <f>VLOOKUP(S11,DATOS°!$C$37:$K$50,3,FALSE)</f>
        <v>#N/A</v>
      </c>
      <c r="C11" s="85" t="e">
        <f>VLOOKUP(S11,DATOS°!$C$37:$K$50,4,FALSE)</f>
        <v>#N/A</v>
      </c>
      <c r="D11" s="663" t="s">
        <v>3</v>
      </c>
      <c r="E11" s="85" t="e">
        <f>VLOOKUP(S11,DATOS°!$C$37:$K$50,5,FALSE)</f>
        <v>#N/A</v>
      </c>
      <c r="F11" s="86" t="s">
        <v>255</v>
      </c>
      <c r="G11" s="85" t="e">
        <f>VLOOKUP(S11,DATOS°!$C$37:$K$50,6,FALSE)</f>
        <v>#N/A</v>
      </c>
      <c r="H11" s="86" t="s">
        <v>3</v>
      </c>
      <c r="I11" s="85" t="e">
        <f>VLOOKUP(S11,DATOS°!$C$37:$K$50,7,FALSE)</f>
        <v>#N/A</v>
      </c>
      <c r="J11" s="86" t="s">
        <v>3</v>
      </c>
      <c r="K11" s="915" t="e">
        <f t="shared" si="1"/>
        <v>#N/A</v>
      </c>
      <c r="L11" s="86" t="s">
        <v>3</v>
      </c>
      <c r="M11" s="918" t="e">
        <f t="shared" ref="M11:M15" si="2">SQRT((I11/2)^2+(K11)^2)</f>
        <v>#N/A</v>
      </c>
      <c r="N11" s="86" t="s">
        <v>3</v>
      </c>
      <c r="O11" s="87" t="e">
        <f>VLOOKUP(S11,DATOS°!$C$37:$K$50,8,FALSE)</f>
        <v>#N/A</v>
      </c>
      <c r="P11" s="88" t="e">
        <f>VLOOKUP(S11,DATOS°!$C$37:$K$50,9,FALSE)</f>
        <v>#N/A</v>
      </c>
      <c r="Q11" s="89"/>
      <c r="R11" s="977"/>
      <c r="S11" s="285"/>
    </row>
    <row r="12" spans="1:19" s="6" customFormat="1" ht="30" customHeight="1" thickBot="1" x14ac:dyDescent="0.3">
      <c r="A12" s="1568"/>
      <c r="B12" s="981" t="e">
        <f>VLOOKUP(S12,DATOS°!$C$37:$K$50,3,FALSE)</f>
        <v>#N/A</v>
      </c>
      <c r="C12" s="85" t="e">
        <f>VLOOKUP(S12,DATOS°!$C$37:$K$50,4,FALSE)</f>
        <v>#N/A</v>
      </c>
      <c r="D12" s="663" t="s">
        <v>3</v>
      </c>
      <c r="E12" s="85" t="e">
        <f>VLOOKUP(S12,DATOS°!$C$37:$K$50,5,FALSE)</f>
        <v>#N/A</v>
      </c>
      <c r="F12" s="86" t="s">
        <v>255</v>
      </c>
      <c r="G12" s="85" t="e">
        <f>VLOOKUP(S12,DATOS°!$C$37:$K$50,6,FALSE)</f>
        <v>#N/A</v>
      </c>
      <c r="H12" s="86" t="s">
        <v>3</v>
      </c>
      <c r="I12" s="85" t="e">
        <f>VLOOKUP(S12,DATOS°!$C$37:$K$50,7,FALSE)</f>
        <v>#N/A</v>
      </c>
      <c r="J12" s="86" t="s">
        <v>3</v>
      </c>
      <c r="K12" s="915" t="e">
        <f t="shared" si="1"/>
        <v>#N/A</v>
      </c>
      <c r="L12" s="86" t="s">
        <v>3</v>
      </c>
      <c r="M12" s="918" t="e">
        <f t="shared" si="2"/>
        <v>#N/A</v>
      </c>
      <c r="N12" s="86" t="s">
        <v>3</v>
      </c>
      <c r="O12" s="87" t="e">
        <f>VLOOKUP(S12,DATOS°!$C$37:$K$50,8,FALSE)</f>
        <v>#N/A</v>
      </c>
      <c r="P12" s="88" t="e">
        <f>VLOOKUP(S12,DATOS°!$C$37:$K$50,9,FALSE)</f>
        <v>#N/A</v>
      </c>
      <c r="Q12" s="89"/>
      <c r="R12" s="977"/>
      <c r="S12" s="510"/>
    </row>
    <row r="13" spans="1:19" s="6" customFormat="1" ht="30" customHeight="1" x14ac:dyDescent="0.25">
      <c r="A13" s="1566" t="s">
        <v>72</v>
      </c>
      <c r="B13" s="981" t="e">
        <f>VLOOKUP(S13,DATOS°!$C$37:$K$50,3,FALSE)</f>
        <v>#N/A</v>
      </c>
      <c r="C13" s="85" t="e">
        <f>VLOOKUP(S13,DATOS°!$C$37:$K$50,4,FALSE)</f>
        <v>#N/A</v>
      </c>
      <c r="D13" s="663" t="s">
        <v>3</v>
      </c>
      <c r="E13" s="85" t="e">
        <f>VLOOKUP(S13,DATOS°!$C$37:$K$50,5,FALSE)</f>
        <v>#N/A</v>
      </c>
      <c r="F13" s="86" t="s">
        <v>3</v>
      </c>
      <c r="G13" s="85" t="e">
        <f>VLOOKUP(S13,DATOS°!$C$37:$K$50,6,FALSE)</f>
        <v>#N/A</v>
      </c>
      <c r="H13" s="86" t="s">
        <v>3</v>
      </c>
      <c r="I13" s="85" t="e">
        <f>VLOOKUP(S13,DATOS°!$C$37:$K$50,7,FALSE)</f>
        <v>#N/A</v>
      </c>
      <c r="J13" s="86" t="s">
        <v>3</v>
      </c>
      <c r="K13" s="915" t="e">
        <f t="shared" si="1"/>
        <v>#N/A</v>
      </c>
      <c r="L13" s="86" t="s">
        <v>3</v>
      </c>
      <c r="M13" s="918" t="e">
        <f t="shared" si="2"/>
        <v>#N/A</v>
      </c>
      <c r="N13" s="86" t="s">
        <v>3</v>
      </c>
      <c r="O13" s="87" t="e">
        <f>VLOOKUP(S13,DATOS°!$C$37:$K$50,8,FALSE)</f>
        <v>#N/A</v>
      </c>
      <c r="P13" s="88" t="e">
        <f>VLOOKUP(S13,DATOS°!$C$37:$K$50,9,FALSE)</f>
        <v>#N/A</v>
      </c>
      <c r="Q13" s="89"/>
      <c r="R13" s="153"/>
      <c r="S13" s="509"/>
    </row>
    <row r="14" spans="1:19" s="6" customFormat="1" ht="30" customHeight="1" x14ac:dyDescent="0.25">
      <c r="A14" s="1567"/>
      <c r="B14" s="981" t="e">
        <f>VLOOKUP(S14,DATOS°!$C$39:$K$48,3,FALSE)</f>
        <v>#N/A</v>
      </c>
      <c r="C14" s="85" t="e">
        <f>VLOOKUP(S14,DATOS°!$C$37:$K$50,4,FALSE)</f>
        <v>#N/A</v>
      </c>
      <c r="D14" s="663" t="s">
        <v>3</v>
      </c>
      <c r="E14" s="85" t="e">
        <f>VLOOKUP(S14,DATOS°!$C$37:$K$50,5,FALSE)</f>
        <v>#N/A</v>
      </c>
      <c r="F14" s="86" t="s">
        <v>3</v>
      </c>
      <c r="G14" s="85" t="e">
        <f>VLOOKUP(S14,DATOS°!$C$37:$K$50,6,FALSE)</f>
        <v>#N/A</v>
      </c>
      <c r="H14" s="86" t="s">
        <v>3</v>
      </c>
      <c r="I14" s="85" t="e">
        <f>VLOOKUP(S14,DATOS°!$C$37:$K$50,7,FALSE)</f>
        <v>#N/A</v>
      </c>
      <c r="J14" s="86" t="s">
        <v>3</v>
      </c>
      <c r="K14" s="915" t="e">
        <f t="shared" si="1"/>
        <v>#N/A</v>
      </c>
      <c r="L14" s="86" t="s">
        <v>3</v>
      </c>
      <c r="M14" s="918" t="e">
        <f t="shared" si="2"/>
        <v>#N/A</v>
      </c>
      <c r="N14" s="86" t="s">
        <v>3</v>
      </c>
      <c r="O14" s="87" t="e">
        <f>VLOOKUP(S14,DATOS°!$C$37:$K$50,8,FALSE)</f>
        <v>#N/A</v>
      </c>
      <c r="P14" s="88" t="e">
        <f>VLOOKUP(S14,DATOS°!$C$37:$K$50,9,FALSE)</f>
        <v>#N/A</v>
      </c>
      <c r="Q14" s="89"/>
      <c r="R14" s="153"/>
      <c r="S14" s="285"/>
    </row>
    <row r="15" spans="1:19" s="6" customFormat="1" ht="30" customHeight="1" x14ac:dyDescent="0.25">
      <c r="A15" s="1567"/>
      <c r="B15" s="981" t="e">
        <f>VLOOKUP(S15,DATOS°!$C$39:$K$48,3,FALSE)</f>
        <v>#N/A</v>
      </c>
      <c r="C15" s="85" t="e">
        <f>VLOOKUP(S15,DATOS°!$C$37:$K$50,4,FALSE)</f>
        <v>#N/A</v>
      </c>
      <c r="D15" s="663" t="s">
        <v>3</v>
      </c>
      <c r="E15" s="85" t="e">
        <f>VLOOKUP(S15,DATOS°!$C$37:$K$50,5,FALSE)</f>
        <v>#N/A</v>
      </c>
      <c r="F15" s="86" t="s">
        <v>3</v>
      </c>
      <c r="G15" s="85" t="e">
        <f>VLOOKUP(S15,DATOS°!$C$37:$K$50,6,FALSE)</f>
        <v>#N/A</v>
      </c>
      <c r="H15" s="86" t="s">
        <v>3</v>
      </c>
      <c r="I15" s="85" t="e">
        <f>VLOOKUP(S15,DATOS°!$C$37:$K$50,7,FALSE)</f>
        <v>#N/A</v>
      </c>
      <c r="J15" s="86" t="s">
        <v>3</v>
      </c>
      <c r="K15" s="915" t="e">
        <f t="shared" si="1"/>
        <v>#N/A</v>
      </c>
      <c r="L15" s="86" t="s">
        <v>3</v>
      </c>
      <c r="M15" s="918" t="e">
        <f t="shared" si="2"/>
        <v>#N/A</v>
      </c>
      <c r="N15" s="86" t="s">
        <v>3</v>
      </c>
      <c r="O15" s="87" t="e">
        <f>VLOOKUP(S15,DATOS°!$C$37:$K$50,8,FALSE)</f>
        <v>#N/A</v>
      </c>
      <c r="P15" s="88" t="e">
        <f>VLOOKUP(S15,DATOS°!$C$37:$K$50,9,FALSE)</f>
        <v>#N/A</v>
      </c>
      <c r="Q15" s="89"/>
      <c r="R15" s="153"/>
      <c r="S15" s="285"/>
    </row>
    <row r="16" spans="1:19" s="6" customFormat="1" ht="30" customHeight="1" x14ac:dyDescent="0.25">
      <c r="A16" s="1567"/>
      <c r="B16" s="981" t="e">
        <f>VLOOKUP(S16,DATOS°!$C$37:$K$50,3,FALSE)</f>
        <v>#N/A</v>
      </c>
      <c r="C16" s="85" t="e">
        <f>VLOOKUP(S16,DATOS°!$C$37:$K$50,4,FALSE)</f>
        <v>#N/A</v>
      </c>
      <c r="D16" s="663" t="s">
        <v>3</v>
      </c>
      <c r="E16" s="85" t="e">
        <f>VLOOKUP(S16,DATOS°!$C$37:$K$50,5,FALSE)</f>
        <v>#N/A</v>
      </c>
      <c r="F16" s="86" t="s">
        <v>3</v>
      </c>
      <c r="G16" s="85" t="e">
        <f>VLOOKUP(S16,DATOS°!$C$37:$K$50,6,FALSE)</f>
        <v>#N/A</v>
      </c>
      <c r="H16" s="86" t="s">
        <v>3</v>
      </c>
      <c r="I16" s="887" t="e">
        <f>VLOOKUP(S16,DATOS°!$C$37:$K$50,7,FALSE)</f>
        <v>#N/A</v>
      </c>
      <c r="J16" s="86" t="s">
        <v>3</v>
      </c>
      <c r="K16" s="915" t="e">
        <f t="shared" si="1"/>
        <v>#N/A</v>
      </c>
      <c r="L16" s="86" t="s">
        <v>3</v>
      </c>
      <c r="M16" s="918" t="e">
        <f t="shared" ref="M16:M22" si="3">SQRT((I16/2)^2+(K16)^2)</f>
        <v>#N/A</v>
      </c>
      <c r="N16" s="86" t="s">
        <v>3</v>
      </c>
      <c r="O16" s="87" t="e">
        <f>VLOOKUP(S16,DATOS°!$C$37:$K$50,8,FALSE)</f>
        <v>#N/A</v>
      </c>
      <c r="P16" s="88" t="e">
        <f>VLOOKUP(S16,DATOS°!$C$37:$K$50,9,FALSE)</f>
        <v>#N/A</v>
      </c>
      <c r="Q16" s="89"/>
      <c r="R16" s="977"/>
      <c r="S16" s="285"/>
    </row>
    <row r="17" spans="1:20" s="6" customFormat="1" ht="30" customHeight="1" thickBot="1" x14ac:dyDescent="0.3">
      <c r="A17" s="1568"/>
      <c r="B17" s="981" t="e">
        <f>VLOOKUP(S17,DATOS°!$C$37:$K$50,3,FALSE)</f>
        <v>#N/A</v>
      </c>
      <c r="C17" s="85" t="e">
        <f>VLOOKUP(S17,DATOS°!$C$37:$K$50,4,FALSE)</f>
        <v>#N/A</v>
      </c>
      <c r="D17" s="663" t="s">
        <v>3</v>
      </c>
      <c r="E17" s="85" t="e">
        <f>VLOOKUP(S17,DATOS°!$C$37:$K$50,5,FALSE)</f>
        <v>#N/A</v>
      </c>
      <c r="F17" s="86" t="s">
        <v>3</v>
      </c>
      <c r="G17" s="85" t="e">
        <f>VLOOKUP(S17,DATOS°!$C$37:$K$50,6,FALSE)</f>
        <v>#N/A</v>
      </c>
      <c r="H17" s="86" t="s">
        <v>3</v>
      </c>
      <c r="I17" s="887" t="e">
        <f>VLOOKUP(S17,DATOS°!$C$37:$K$50,7,FALSE)</f>
        <v>#N/A</v>
      </c>
      <c r="J17" s="86" t="s">
        <v>3</v>
      </c>
      <c r="K17" s="915" t="e">
        <f t="shared" si="1"/>
        <v>#N/A</v>
      </c>
      <c r="L17" s="86" t="s">
        <v>3</v>
      </c>
      <c r="M17" s="918" t="e">
        <f t="shared" si="3"/>
        <v>#N/A</v>
      </c>
      <c r="N17" s="86" t="s">
        <v>3</v>
      </c>
      <c r="O17" s="87" t="e">
        <f>VLOOKUP(S17,DATOS°!$C$37:$K$50,8,FALSE)</f>
        <v>#N/A</v>
      </c>
      <c r="P17" s="88" t="e">
        <f>VLOOKUP(S17,DATOS°!$C$37:$K$50,9,FALSE)</f>
        <v>#N/A</v>
      </c>
      <c r="Q17" s="89"/>
      <c r="R17" s="977"/>
      <c r="S17" s="510"/>
    </row>
    <row r="18" spans="1:20" s="6" customFormat="1" ht="30" customHeight="1" thickBot="1" x14ac:dyDescent="0.3">
      <c r="A18" s="986" t="s">
        <v>194</v>
      </c>
      <c r="B18" s="982" t="e">
        <f>VLOOKUP(S18,DATOS°!$C$112:$K$117,3,FALSE)</f>
        <v>#N/A</v>
      </c>
      <c r="C18" s="887" t="e">
        <f>VLOOKUP(S18,DATOS°!$C$112:$K$117,4,FALSE)</f>
        <v>#N/A</v>
      </c>
      <c r="D18" s="663" t="s">
        <v>4</v>
      </c>
      <c r="E18" s="887" t="e">
        <f>VLOOKUP(S18,DATOS°!$C$112:$K$117,5,FALSE)</f>
        <v>#N/A</v>
      </c>
      <c r="F18" s="663" t="s">
        <v>4</v>
      </c>
      <c r="G18" s="887" t="e">
        <f>VLOOKUP(S18,DATOS°!$C$112:$K$117,6,FALSE)</f>
        <v>#N/A</v>
      </c>
      <c r="H18" s="663" t="s">
        <v>4</v>
      </c>
      <c r="I18" s="887" t="e">
        <f>VLOOKUP(S18,DATOS°!$C$112:$K$117,7,FALSE)</f>
        <v>#N/A</v>
      </c>
      <c r="J18" s="155" t="s">
        <v>4</v>
      </c>
      <c r="K18" s="915" t="e">
        <f>(I18/2)/SQRT(12)</f>
        <v>#N/A</v>
      </c>
      <c r="L18" s="663" t="s">
        <v>4</v>
      </c>
      <c r="M18" s="918" t="e">
        <f t="shared" si="3"/>
        <v>#N/A</v>
      </c>
      <c r="N18" s="663" t="s">
        <v>4</v>
      </c>
      <c r="O18" s="87" t="e">
        <f>VLOOKUP(S18,DATOS°!$C$112:$K$117,8,FALSE)</f>
        <v>#N/A</v>
      </c>
      <c r="P18" s="88" t="e">
        <f>VLOOKUP(S18,DATOS°!$C$112:$K$117,9,FALSE)</f>
        <v>#N/A</v>
      </c>
      <c r="Q18" s="656" t="s">
        <v>397</v>
      </c>
      <c r="R18" s="657" t="s">
        <v>398</v>
      </c>
      <c r="S18" s="515"/>
    </row>
    <row r="19" spans="1:20" s="9" customFormat="1" ht="30" customHeight="1" x14ac:dyDescent="0.25">
      <c r="A19" s="986" t="s">
        <v>195</v>
      </c>
      <c r="B19" s="1569" t="e">
        <f>VLOOKUP(S19,DATOS°!$C$121:$K$127,3,FALSE)</f>
        <v>#N/A</v>
      </c>
      <c r="C19" s="1571" t="e">
        <f>VLOOKUP(S19,DATOS°!$C$121:$K$127,4,FALSE)</f>
        <v>#N/A</v>
      </c>
      <c r="D19" s="1525" t="s">
        <v>4</v>
      </c>
      <c r="E19" s="1527" t="e">
        <f>VLOOKUP(S19,DATOS°!$C$121:$K$127,5,FALSE)</f>
        <v>#N/A</v>
      </c>
      <c r="F19" s="1525" t="s">
        <v>4</v>
      </c>
      <c r="G19" s="1571" t="e">
        <f>VLOOKUP(S19,DATOS°!$C$121:$K$127,6,FALSE)</f>
        <v>#N/A</v>
      </c>
      <c r="H19" s="1525" t="s">
        <v>4</v>
      </c>
      <c r="I19" s="1527" t="e">
        <f>VLOOKUP(S19,DATOS°!$C$121:$K$127,7,FALSE)</f>
        <v>#N/A</v>
      </c>
      <c r="J19" s="1525" t="s">
        <v>4</v>
      </c>
      <c r="K19" s="1529" t="e">
        <f t="shared" ref="K19:K22" si="4">(I19/2)/SQRT(12)</f>
        <v>#N/A</v>
      </c>
      <c r="L19" s="1534" t="s">
        <v>4</v>
      </c>
      <c r="M19" s="1545" t="e">
        <f t="shared" si="3"/>
        <v>#N/A</v>
      </c>
      <c r="N19" s="1534" t="s">
        <v>4</v>
      </c>
      <c r="O19" s="1527" t="e">
        <f>VLOOKUP(S19,DATOS°!$C$121:$K$127,8,FALSE)</f>
        <v>#N/A</v>
      </c>
      <c r="P19" s="1573" t="e">
        <f>VLOOKUP(S19,DATOS°!$C$121:$K$127,9,FALSE)</f>
        <v>#N/A</v>
      </c>
      <c r="Q19" s="658" t="e">
        <f>VLOOKUP(S19,DATOS°!$C$121:$R$128,13,FALSE)</f>
        <v>#N/A</v>
      </c>
      <c r="R19" s="659" t="e">
        <f>VLOOKUP(S19,DATOS°!$C$121:$R$128,15,FALSE)</f>
        <v>#N/A</v>
      </c>
      <c r="S19" s="1575"/>
    </row>
    <row r="20" spans="1:20" s="2" customFormat="1" ht="30" customHeight="1" thickBot="1" x14ac:dyDescent="0.3">
      <c r="A20" s="987"/>
      <c r="B20" s="1570"/>
      <c r="C20" s="1572"/>
      <c r="D20" s="1526"/>
      <c r="E20" s="1528"/>
      <c r="F20" s="1526"/>
      <c r="G20" s="1572"/>
      <c r="H20" s="1526"/>
      <c r="I20" s="1528"/>
      <c r="J20" s="1526"/>
      <c r="K20" s="1529"/>
      <c r="L20" s="1535"/>
      <c r="M20" s="1546"/>
      <c r="N20" s="1535"/>
      <c r="O20" s="1528"/>
      <c r="P20" s="1574"/>
      <c r="Q20" s="660" t="e">
        <f>VLOOKUP(S19,DATOS°!$C$121:$R$128,14,FALSE)</f>
        <v>#N/A</v>
      </c>
      <c r="R20" s="1120" t="e">
        <f>VLOOKUP(S19,DATOS°!$C$121:$R$128,16,FALSE)</f>
        <v>#N/A</v>
      </c>
      <c r="S20" s="1576"/>
    </row>
    <row r="21" spans="1:20" s="10" customFormat="1" ht="27.75" customHeight="1" thickBot="1" x14ac:dyDescent="0.3">
      <c r="A21" s="988" t="s">
        <v>468</v>
      </c>
      <c r="B21" s="982" t="e">
        <f>VLOOKUP(S21,DATOS°!$C$131:$K$132,3,FALSE)</f>
        <v>#N/A</v>
      </c>
      <c r="C21" s="87" t="e">
        <f>VLOOKUP(S21,DATOS°!$C$131:$K$132,4,FALSE)</f>
        <v>#N/A</v>
      </c>
      <c r="D21" s="663" t="s">
        <v>192</v>
      </c>
      <c r="E21" s="921" t="e">
        <f>VLOOKUP(S21,DATOS°!$C$131:$K$132,5,FALSE)</f>
        <v>#N/A</v>
      </c>
      <c r="F21" s="663" t="s">
        <v>192</v>
      </c>
      <c r="G21" s="924" t="e">
        <f>VLOOKUP(S21,DATOS°!$C$131:$K$132,6,FALSE)</f>
        <v>#N/A</v>
      </c>
      <c r="H21" s="663" t="s">
        <v>192</v>
      </c>
      <c r="I21" s="924" t="e">
        <f>VLOOKUP(S21,DATOS°!$C$131:$K$132,7,FALSE)</f>
        <v>#N/A</v>
      </c>
      <c r="J21" s="155" t="s">
        <v>192</v>
      </c>
      <c r="K21" s="916" t="e">
        <f t="shared" si="4"/>
        <v>#N/A</v>
      </c>
      <c r="L21" s="663" t="s">
        <v>192</v>
      </c>
      <c r="M21" s="918" t="e">
        <f t="shared" si="3"/>
        <v>#N/A</v>
      </c>
      <c r="N21" s="662" t="s">
        <v>192</v>
      </c>
      <c r="O21" s="919" t="e">
        <f>VLOOKUP(S21,DATOS°!$C$131:$K$132,8,FALSE)</f>
        <v>#N/A</v>
      </c>
      <c r="P21" s="88" t="e">
        <f>VLOOKUP(S21,DATOS°!$C$131:$K$132,9,FALSE)</f>
        <v>#N/A</v>
      </c>
      <c r="Q21" s="90"/>
      <c r="R21" s="154"/>
      <c r="S21" s="172"/>
    </row>
    <row r="22" spans="1:20" s="2" customFormat="1" ht="30" customHeight="1" thickBot="1" x14ac:dyDescent="0.3">
      <c r="A22" s="989" t="s">
        <v>73</v>
      </c>
      <c r="B22" s="983" t="e">
        <f>VLOOKUP(S22,DATOS°!$C$137:$K$152,3,FALSE)</f>
        <v>#N/A</v>
      </c>
      <c r="C22" s="91" t="e">
        <f>VLOOKUP(S22,DATOS°!$C$137:$K$152,4,FALSE)</f>
        <v>#N/A</v>
      </c>
      <c r="D22" s="92" t="s">
        <v>170</v>
      </c>
      <c r="E22" s="888" t="e">
        <f>VLOOKUP(S22,DATOS°!$C$137:$K$152,5,FALSE)</f>
        <v>#N/A</v>
      </c>
      <c r="F22" s="92" t="s">
        <v>170</v>
      </c>
      <c r="G22" s="922" t="e">
        <f>VLOOKUP(S22,DATOS°!$C$137:$K$152,6,FALSE)</f>
        <v>#N/A</v>
      </c>
      <c r="H22" s="92" t="s">
        <v>170</v>
      </c>
      <c r="I22" s="920" t="e">
        <f>VLOOKUP(S22,DATOS°!$C$137:$K$152,7,FALSE)</f>
        <v>#N/A</v>
      </c>
      <c r="J22" s="92" t="s">
        <v>170</v>
      </c>
      <c r="K22" s="917" t="e">
        <f t="shared" si="4"/>
        <v>#N/A</v>
      </c>
      <c r="L22" s="92" t="s">
        <v>170</v>
      </c>
      <c r="M22" s="978" t="e">
        <f t="shared" si="3"/>
        <v>#N/A</v>
      </c>
      <c r="N22" s="92" t="s">
        <v>170</v>
      </c>
      <c r="O22" s="91" t="e">
        <f>VLOOKUP(S22,DATOS°!$C$137:$K$152,8,FALSE)</f>
        <v>#N/A</v>
      </c>
      <c r="P22" s="94" t="e">
        <f>VLOOKUP(S22,DATOS°!$C$137:$K$152,9,FALSE)</f>
        <v>#N/A</v>
      </c>
      <c r="Q22" s="95"/>
      <c r="R22" s="156"/>
      <c r="S22" s="510"/>
    </row>
    <row r="23" spans="1:20" s="2" customFormat="1" ht="30" customHeight="1" thickBot="1" x14ac:dyDescent="0.3"/>
    <row r="24" spans="1:20" s="2" customFormat="1" ht="30" customHeight="1" thickBot="1" x14ac:dyDescent="0.3">
      <c r="A24" s="7"/>
      <c r="B24" s="1498" t="s">
        <v>74</v>
      </c>
      <c r="C24" s="1499"/>
      <c r="D24" s="1499"/>
      <c r="E24" s="1499"/>
      <c r="F24" s="1499"/>
      <c r="G24" s="1577"/>
      <c r="H24" s="10"/>
      <c r="I24" s="1498" t="s">
        <v>422</v>
      </c>
      <c r="J24" s="1499"/>
      <c r="K24" s="1499"/>
      <c r="L24" s="1499"/>
      <c r="M24" s="1499"/>
      <c r="N24" s="1499"/>
      <c r="O24" s="1499"/>
      <c r="P24" s="1499"/>
      <c r="Q24" s="1499"/>
      <c r="R24" s="1577"/>
    </row>
    <row r="25" spans="1:20" s="2" customFormat="1" ht="30" customHeight="1" thickBot="1" x14ac:dyDescent="0.3">
      <c r="A25" s="7"/>
      <c r="B25" s="680" t="s">
        <v>75</v>
      </c>
      <c r="C25" s="881"/>
      <c r="D25" s="1530" t="s">
        <v>1</v>
      </c>
      <c r="E25" s="1531"/>
      <c r="F25" s="1532" t="s">
        <v>0</v>
      </c>
      <c r="G25" s="1533"/>
      <c r="H25" s="10"/>
      <c r="I25" s="1519" t="s">
        <v>68</v>
      </c>
      <c r="J25" s="1521" t="s">
        <v>49</v>
      </c>
      <c r="K25" s="1521" t="s">
        <v>50</v>
      </c>
      <c r="L25" s="1521" t="s">
        <v>174</v>
      </c>
      <c r="M25" s="1523" t="s">
        <v>76</v>
      </c>
      <c r="N25" s="10"/>
      <c r="O25" s="1508" t="s">
        <v>77</v>
      </c>
      <c r="P25" s="1508" t="s">
        <v>78</v>
      </c>
      <c r="Q25" s="1508" t="s">
        <v>79</v>
      </c>
      <c r="R25" s="1510" t="s">
        <v>378</v>
      </c>
    </row>
    <row r="26" spans="1:20" s="2" customFormat="1" ht="30" customHeight="1" thickBot="1" x14ac:dyDescent="0.3">
      <c r="A26" s="148"/>
      <c r="B26" s="1547" t="s">
        <v>44</v>
      </c>
      <c r="C26" s="1548"/>
      <c r="D26" s="1578" t="e">
        <f>VLOOKUP($A$26,DATOS°!$B$24:$M$26,2,FALSE)</f>
        <v>#N/A</v>
      </c>
      <c r="E26" s="1579"/>
      <c r="F26" s="1551" t="e">
        <f>VLOOKUP($H$26,DATOS°!$B$14:$N$16,2,FALSE)</f>
        <v>#N/A</v>
      </c>
      <c r="G26" s="1552"/>
      <c r="H26" s="148"/>
      <c r="I26" s="1520"/>
      <c r="J26" s="1522"/>
      <c r="K26" s="1522"/>
      <c r="L26" s="1522"/>
      <c r="M26" s="1524"/>
      <c r="N26" s="10"/>
      <c r="O26" s="1509"/>
      <c r="P26" s="1509"/>
      <c r="Q26" s="1509"/>
      <c r="R26" s="1511"/>
    </row>
    <row r="27" spans="1:20" s="2" customFormat="1" ht="30" customHeight="1" thickBot="1" x14ac:dyDescent="0.3">
      <c r="A27" s="7"/>
      <c r="B27" s="1547" t="s">
        <v>45</v>
      </c>
      <c r="C27" s="1548"/>
      <c r="D27" s="1549" t="e">
        <f>VLOOKUP($A$26,DATOS°!$B$24:$M$26,3,FALSE)</f>
        <v>#N/A</v>
      </c>
      <c r="E27" s="1550"/>
      <c r="F27" s="1553" t="e">
        <f>VLOOKUP($H$26,DATOS°!$B$14:$N$16,3,FALSE)</f>
        <v>#N/A</v>
      </c>
      <c r="G27" s="1554"/>
      <c r="H27" s="10"/>
      <c r="I27" s="885" t="s">
        <v>82</v>
      </c>
      <c r="J27" s="12">
        <v>3.7854109999999999</v>
      </c>
      <c r="K27" s="12">
        <v>3785.4110000000001</v>
      </c>
      <c r="L27" s="12">
        <v>231.00000854332629</v>
      </c>
      <c r="M27" s="17">
        <v>5</v>
      </c>
      <c r="N27" s="11"/>
      <c r="O27" s="445" t="e">
        <f>O30/K27</f>
        <v>#N/A</v>
      </c>
      <c r="P27" s="1107" t="e">
        <f>P30/K27</f>
        <v>#N/A</v>
      </c>
      <c r="Q27" s="446" t="e">
        <f>P27-O27</f>
        <v>#N/A</v>
      </c>
      <c r="R27" s="661" t="e">
        <f>ABS(Q27)</f>
        <v>#N/A</v>
      </c>
    </row>
    <row r="28" spans="1:20" s="2" customFormat="1" ht="30" customHeight="1" thickBot="1" x14ac:dyDescent="0.3">
      <c r="A28" s="7"/>
      <c r="B28" s="1547" t="s">
        <v>28</v>
      </c>
      <c r="C28" s="1548"/>
      <c r="D28" s="1549" t="e">
        <f>VLOOKUP($A$26,DATOS°!$B$24:$M$26,4,FALSE)</f>
        <v>#N/A</v>
      </c>
      <c r="E28" s="1550"/>
      <c r="F28" s="1555" t="e">
        <f>VLOOKUP($H$26,DATOS°!$B$14:$N$16,4,FALSE)</f>
        <v>#N/A</v>
      </c>
      <c r="G28" s="1556"/>
      <c r="H28" s="10"/>
      <c r="I28" s="885" t="s">
        <v>175</v>
      </c>
      <c r="J28" s="12">
        <v>1.6387059999999998E-2</v>
      </c>
      <c r="K28" s="12">
        <v>16.387059999999998</v>
      </c>
      <c r="L28" s="12">
        <v>1</v>
      </c>
      <c r="M28" s="17">
        <v>1155.0000427166315</v>
      </c>
      <c r="N28" s="10"/>
      <c r="O28" s="57" t="e">
        <f>O30/K28</f>
        <v>#N/A</v>
      </c>
      <c r="P28" s="1108" t="e">
        <f>(P30*L28)/K28</f>
        <v>#N/A</v>
      </c>
      <c r="Q28" s="97" t="e">
        <f>P28-O28</f>
        <v>#N/A</v>
      </c>
      <c r="R28" s="654" t="e">
        <f t="shared" ref="R28:R29" si="5">ABS(Q28)</f>
        <v>#N/A</v>
      </c>
    </row>
    <row r="29" spans="1:20" s="2" customFormat="1" ht="30" customHeight="1" thickBot="1" x14ac:dyDescent="0.3">
      <c r="A29" s="7"/>
      <c r="B29" s="1547" t="s">
        <v>85</v>
      </c>
      <c r="C29" s="1548"/>
      <c r="D29" s="883" t="e">
        <f>VLOOKUP($A$26,DATOS°!$B$24:$M$26,5,FALSE)</f>
        <v>#N/A</v>
      </c>
      <c r="E29" s="662" t="s">
        <v>3</v>
      </c>
      <c r="F29" s="662" t="e">
        <f>VLOOKUP($H$26,DATOS°!$B$14:$N$16,5,FALSE)</f>
        <v>#N/A</v>
      </c>
      <c r="G29" s="96" t="s">
        <v>3</v>
      </c>
      <c r="H29" s="10"/>
      <c r="I29" s="885" t="s">
        <v>25</v>
      </c>
      <c r="J29" s="12">
        <v>1</v>
      </c>
      <c r="K29" s="12">
        <v>1000</v>
      </c>
      <c r="L29" s="12">
        <v>1.6387059999999998E-2</v>
      </c>
      <c r="M29" s="17">
        <v>18.927054999999999</v>
      </c>
      <c r="N29" s="10"/>
      <c r="O29" s="64" t="e">
        <f>O30/K29</f>
        <v>#N/A</v>
      </c>
      <c r="P29" s="1108" t="e">
        <f>(P30*J29)/K29</f>
        <v>#N/A</v>
      </c>
      <c r="Q29" s="97" t="e">
        <f>P29-O29</f>
        <v>#N/A</v>
      </c>
      <c r="R29" s="654" t="e">
        <f t="shared" si="5"/>
        <v>#N/A</v>
      </c>
    </row>
    <row r="30" spans="1:20" s="2" customFormat="1" ht="30" customHeight="1" thickBot="1" x14ac:dyDescent="0.3">
      <c r="A30" s="7"/>
      <c r="B30" s="1547" t="s">
        <v>48</v>
      </c>
      <c r="C30" s="1548"/>
      <c r="D30" s="883" t="e">
        <f>VLOOKUP($A$26,DATOS°!$B$24:$M$26,6,FALSE)</f>
        <v>#N/A</v>
      </c>
      <c r="E30" s="662" t="s">
        <v>9</v>
      </c>
      <c r="F30" s="662" t="e">
        <f>VLOOKUP($H$26,DATOS°!$B$14:$N$16,6,FALSE)</f>
        <v>#N/A</v>
      </c>
      <c r="G30" s="96" t="s">
        <v>9</v>
      </c>
      <c r="H30" s="10"/>
      <c r="I30" s="885" t="s">
        <v>26</v>
      </c>
      <c r="J30" s="12">
        <v>1E-3</v>
      </c>
      <c r="K30" s="12">
        <v>1</v>
      </c>
      <c r="L30" s="12">
        <v>16.387059999999998</v>
      </c>
      <c r="M30" s="1140">
        <v>18927.055</v>
      </c>
      <c r="N30" s="10"/>
      <c r="O30" s="1140" t="e">
        <f>C7</f>
        <v>#N/A</v>
      </c>
      <c r="P30" s="1108" t="e">
        <f>H58</f>
        <v>#N/A</v>
      </c>
      <c r="Q30" s="97" t="e">
        <f>P30-O30</f>
        <v>#N/A</v>
      </c>
      <c r="R30" s="654" t="e">
        <f>ABS(Q30)</f>
        <v>#N/A</v>
      </c>
    </row>
    <row r="31" spans="1:20" s="2" customFormat="1" ht="30" customHeight="1" thickBot="1" x14ac:dyDescent="0.3">
      <c r="A31" s="7"/>
      <c r="B31" s="1547" t="s">
        <v>87</v>
      </c>
      <c r="C31" s="1548"/>
      <c r="D31" s="883" t="e">
        <f>VLOOKUP($A$26,DATOS°!$B$24:$M$26,7,FALSE)</f>
        <v>#N/A</v>
      </c>
      <c r="E31" s="662" t="s">
        <v>4</v>
      </c>
      <c r="F31" s="662" t="e">
        <f>VLOOKUP($H$26,DATOS°!$B$14:$N$16,7,FALSE)</f>
        <v>#N/A</v>
      </c>
      <c r="G31" s="96" t="s">
        <v>4</v>
      </c>
      <c r="H31" s="10"/>
      <c r="I31" s="886" t="s">
        <v>176</v>
      </c>
      <c r="J31" s="677">
        <v>1E-3</v>
      </c>
      <c r="K31" s="677">
        <v>1</v>
      </c>
      <c r="L31" s="677">
        <v>16.387059999999998</v>
      </c>
      <c r="M31" s="1140">
        <v>18927.055</v>
      </c>
      <c r="N31" s="10"/>
      <c r="O31" s="1140" t="e">
        <f>O30</f>
        <v>#N/A</v>
      </c>
      <c r="P31" s="1109" t="e">
        <f>P30</f>
        <v>#N/A</v>
      </c>
      <c r="Q31" s="100" t="e">
        <f>P31-O31</f>
        <v>#N/A</v>
      </c>
      <c r="R31" s="655" t="e">
        <f>ABS(Q31)</f>
        <v>#N/A</v>
      </c>
      <c r="T31" s="470"/>
    </row>
    <row r="32" spans="1:20" s="2" customFormat="1" ht="30" customHeight="1" thickBot="1" x14ac:dyDescent="0.3">
      <c r="A32" s="7"/>
      <c r="B32" s="1547" t="s">
        <v>43</v>
      </c>
      <c r="C32" s="1548"/>
      <c r="D32" s="883" t="e">
        <f>VLOOKUP($A$26,DATOS°!$B$24:$M$26,8,FALSE)</f>
        <v>#N/A</v>
      </c>
      <c r="E32" s="662" t="s">
        <v>4</v>
      </c>
      <c r="F32" s="662" t="e">
        <f>VLOOKUP($H$26,DATOS°!$B$14:$N$16,8,FALSE)</f>
        <v>#N/A</v>
      </c>
      <c r="G32" s="96" t="s">
        <v>4</v>
      </c>
      <c r="H32" s="10"/>
      <c r="R32" s="7"/>
      <c r="T32" s="470"/>
    </row>
    <row r="33" spans="1:25" s="2" customFormat="1" ht="30" customHeight="1" thickBot="1" x14ac:dyDescent="0.3">
      <c r="A33" s="7"/>
      <c r="B33" s="1547" t="s">
        <v>90</v>
      </c>
      <c r="C33" s="1548"/>
      <c r="D33" s="883" t="e">
        <f>VLOOKUP($A$26,DATOS°!$B$24:$M$26,9,FALSE)</f>
        <v>#N/A</v>
      </c>
      <c r="E33" s="662" t="s">
        <v>179</v>
      </c>
      <c r="F33" s="662" t="e">
        <f>VLOOKUP($H$26,DATOS°!$B$14:$N$16,9,FALSE)</f>
        <v>#N/A</v>
      </c>
      <c r="G33" s="96" t="s">
        <v>179</v>
      </c>
      <c r="H33" s="7"/>
      <c r="I33" s="1512" t="s">
        <v>83</v>
      </c>
      <c r="J33" s="1513"/>
      <c r="K33" s="1514"/>
      <c r="L33" s="1515"/>
      <c r="N33" s="1457" t="s">
        <v>84</v>
      </c>
      <c r="O33" s="1516"/>
      <c r="P33" s="1517"/>
      <c r="Q33" s="1518"/>
      <c r="R33" s="1147"/>
      <c r="T33" s="470"/>
    </row>
    <row r="34" spans="1:25" s="2" customFormat="1" ht="30" customHeight="1" thickBot="1" x14ac:dyDescent="0.3">
      <c r="A34" s="7"/>
      <c r="B34" s="1547" t="s">
        <v>91</v>
      </c>
      <c r="C34" s="1548"/>
      <c r="D34" s="883" t="e">
        <f>VLOOKUP($A$26,DATOS°!$B$24:$M$26,10,FALSE)</f>
        <v>#N/A</v>
      </c>
      <c r="E34" s="662" t="s">
        <v>13</v>
      </c>
      <c r="F34" s="662" t="e">
        <f>VLOOKUP($H$26,DATOS°!$B$14:$N$16,10,FALSE)</f>
        <v>#N/A</v>
      </c>
      <c r="G34" s="96" t="s">
        <v>13</v>
      </c>
      <c r="H34" s="10"/>
    </row>
    <row r="35" spans="1:25" s="2" customFormat="1" ht="30" customHeight="1" thickBot="1" x14ac:dyDescent="0.3">
      <c r="A35" s="7"/>
      <c r="B35" s="1547" t="s">
        <v>92</v>
      </c>
      <c r="C35" s="1548"/>
      <c r="D35" s="883" t="e">
        <f>VLOOKUP($A$26,DATOS°!$B$24:$M$26,11,FALSE)</f>
        <v>#N/A</v>
      </c>
      <c r="E35" s="662" t="s">
        <v>13</v>
      </c>
      <c r="F35" s="662" t="e">
        <f>VLOOKUP($H$26,DATOS°!$B$14:$N$16,11,FALSE)</f>
        <v>#N/A</v>
      </c>
      <c r="G35" s="96" t="s">
        <v>13</v>
      </c>
      <c r="H35" s="10"/>
      <c r="I35" s="1498" t="s">
        <v>365</v>
      </c>
      <c r="J35" s="1499"/>
      <c r="K35" s="1499"/>
      <c r="L35" s="1499"/>
      <c r="M35" s="1499"/>
      <c r="N35" s="1499"/>
      <c r="O35" s="1499"/>
      <c r="P35" s="1499"/>
      <c r="Q35" s="720" t="s">
        <v>350</v>
      </c>
    </row>
    <row r="36" spans="1:25" s="2" customFormat="1" ht="30" customHeight="1" thickBot="1" x14ac:dyDescent="0.3">
      <c r="A36" s="7"/>
      <c r="B36" s="1547" t="s">
        <v>191</v>
      </c>
      <c r="C36" s="1548"/>
      <c r="D36" s="883" t="e">
        <f>VLOOKUP($A$26,DATOS°!$B$24:$M$26,12,FALSE)</f>
        <v>#N/A</v>
      </c>
      <c r="E36" s="662" t="s">
        <v>179</v>
      </c>
      <c r="F36" s="662" t="e">
        <f>D36</f>
        <v>#N/A</v>
      </c>
      <c r="G36" s="96" t="s">
        <v>179</v>
      </c>
      <c r="H36" s="10"/>
      <c r="I36" s="1500" t="s">
        <v>86</v>
      </c>
      <c r="J36" s="1501"/>
      <c r="K36" s="1502"/>
      <c r="L36" s="1503" t="s">
        <v>22</v>
      </c>
      <c r="M36" s="1504"/>
      <c r="N36" s="1505"/>
      <c r="O36" s="665" t="s">
        <v>23</v>
      </c>
      <c r="P36" s="719" t="s">
        <v>15</v>
      </c>
      <c r="Q36" s="148"/>
    </row>
    <row r="37" spans="1:25" s="2" customFormat="1" ht="30" customHeight="1" thickBot="1" x14ac:dyDescent="0.3">
      <c r="A37" s="7"/>
      <c r="B37" s="1557" t="s">
        <v>88</v>
      </c>
      <c r="C37" s="1558"/>
      <c r="D37" s="1017" t="e">
        <f>K58</f>
        <v>#N/A</v>
      </c>
      <c r="E37" s="93" t="s">
        <v>179</v>
      </c>
      <c r="F37" s="93" t="e">
        <f>D37</f>
        <v>#N/A</v>
      </c>
      <c r="G37" s="101" t="s">
        <v>179</v>
      </c>
      <c r="H37" s="10"/>
      <c r="I37" s="1506" t="s">
        <v>366</v>
      </c>
      <c r="J37" s="1507"/>
      <c r="K37" s="141"/>
      <c r="L37" s="1506" t="s">
        <v>366</v>
      </c>
      <c r="M37" s="1507"/>
      <c r="N37" s="141"/>
      <c r="O37" s="681" t="e">
        <f>AVERAGE(K37,N37)</f>
        <v>#DIV/0!</v>
      </c>
      <c r="P37" s="682" t="e">
        <f>O37+((VLOOKUP($Q$36,DATOS°!$B$162:$O$168,9,FALSE))*O37+(VLOOKUP($Q$36,DATOS°!$B$162:$O$168,10,FALSE)))</f>
        <v>#DIV/0!</v>
      </c>
    </row>
    <row r="38" spans="1:25" s="2" customFormat="1" ht="39" customHeight="1" thickBot="1" x14ac:dyDescent="0.3">
      <c r="A38" s="7"/>
      <c r="B38" s="10"/>
      <c r="C38" s="10"/>
      <c r="D38" s="10"/>
      <c r="E38" s="10"/>
      <c r="F38" s="10"/>
      <c r="G38" s="10"/>
      <c r="H38" s="10"/>
      <c r="I38" s="1506" t="s">
        <v>367</v>
      </c>
      <c r="J38" s="1507"/>
      <c r="K38" s="141"/>
      <c r="L38" s="1506" t="s">
        <v>367</v>
      </c>
      <c r="M38" s="1507"/>
      <c r="N38" s="143"/>
      <c r="O38" s="102" t="e">
        <f>AVERAGE(K38,N38)</f>
        <v>#DIV/0!</v>
      </c>
      <c r="P38" s="682" t="e">
        <f>O38+((VLOOKUP($Q$36,DATOS°!$B$162:$O$168,11,FALSE))*O38+(VLOOKUP($Q$36,DATOS°!$B$162:$O$168,12,FALSE)))</f>
        <v>#DIV/0!</v>
      </c>
    </row>
    <row r="39" spans="1:25" s="2" customFormat="1" ht="30" customHeight="1" thickBot="1" x14ac:dyDescent="0.3">
      <c r="A39" s="7"/>
      <c r="B39" s="1482" t="s">
        <v>210</v>
      </c>
      <c r="C39" s="1483"/>
      <c r="D39" s="1484" t="e">
        <f>VLOOKUP(H39,DATOS°!P9:R13,2,FALSE)</f>
        <v>#N/A</v>
      </c>
      <c r="E39" s="1485"/>
      <c r="F39" s="1485"/>
      <c r="G39" s="1486"/>
      <c r="H39" s="148"/>
      <c r="I39" s="1487" t="s">
        <v>368</v>
      </c>
      <c r="J39" s="1488"/>
      <c r="K39" s="142"/>
      <c r="L39" s="1487" t="s">
        <v>368</v>
      </c>
      <c r="M39" s="1488"/>
      <c r="N39" s="142"/>
      <c r="O39" s="103" t="e">
        <f>AVERAGE(K39,N39)</f>
        <v>#DIV/0!</v>
      </c>
      <c r="P39" s="682" t="e">
        <f>O39+((VLOOKUP($Q$36,DATOS°!$B$162:$O$168,13,FALSE))*O39+(VLOOKUP($Q$36,DATOS°!$B$162:$O$168,14,FALSE)))</f>
        <v>#DIV/0!</v>
      </c>
    </row>
    <row r="40" spans="1:25" s="2" customFormat="1" ht="30" customHeight="1" thickBot="1" x14ac:dyDescent="0.3">
      <c r="A40" s="7"/>
      <c r="H40" s="10"/>
      <c r="I40" s="10"/>
    </row>
    <row r="41" spans="1:25" s="7" customFormat="1" ht="30" customHeight="1" thickBot="1" x14ac:dyDescent="0.3">
      <c r="B41" s="1454" t="s">
        <v>93</v>
      </c>
      <c r="C41" s="1455"/>
      <c r="D41" s="1455"/>
      <c r="E41" s="1455"/>
      <c r="F41" s="1455"/>
      <c r="G41" s="1455"/>
      <c r="H41" s="1455"/>
      <c r="I41" s="1455"/>
      <c r="J41" s="1455"/>
      <c r="K41" s="1455"/>
      <c r="L41" s="1455"/>
      <c r="M41" s="1455"/>
      <c r="N41" s="1456"/>
      <c r="Q41" s="1495" t="s">
        <v>283</v>
      </c>
      <c r="R41" s="1496"/>
      <c r="S41" s="1496"/>
      <c r="T41" s="1496"/>
      <c r="U41" s="1496"/>
      <c r="V41" s="1496"/>
      <c r="W41" s="1496"/>
      <c r="X41" s="1496"/>
      <c r="Y41" s="1497"/>
    </row>
    <row r="42" spans="1:25" s="10" customFormat="1" ht="27.75" customHeight="1" thickBot="1" x14ac:dyDescent="0.3">
      <c r="B42" s="1477" t="s">
        <v>94</v>
      </c>
      <c r="C42" s="1478"/>
      <c r="D42" s="1478"/>
      <c r="E42" s="1478"/>
      <c r="F42" s="1478"/>
      <c r="G42" s="1479"/>
      <c r="I42" s="1477" t="s">
        <v>95</v>
      </c>
      <c r="J42" s="1478"/>
      <c r="K42" s="1478"/>
      <c r="L42" s="1478"/>
      <c r="M42" s="1478"/>
      <c r="N42" s="1479"/>
      <c r="Q42" s="140"/>
      <c r="R42" s="471"/>
      <c r="S42" s="471"/>
      <c r="T42" s="471"/>
      <c r="U42" s="471"/>
      <c r="V42" s="471"/>
      <c r="W42" s="471"/>
      <c r="X42" s="471"/>
      <c r="Y42" s="472"/>
    </row>
    <row r="43" spans="1:25" s="2" customFormat="1" ht="50.1" customHeight="1" thickBot="1" x14ac:dyDescent="0.3">
      <c r="A43" s="148"/>
      <c r="B43" s="994" t="s">
        <v>96</v>
      </c>
      <c r="C43" s="1018" t="s">
        <v>471</v>
      </c>
      <c r="D43" s="493" t="s">
        <v>470</v>
      </c>
      <c r="E43" s="492" t="s">
        <v>98</v>
      </c>
      <c r="F43" s="492" t="s">
        <v>99</v>
      </c>
      <c r="G43" s="494" t="s">
        <v>100</v>
      </c>
      <c r="H43" s="10"/>
      <c r="I43" s="495" t="s">
        <v>97</v>
      </c>
      <c r="J43" s="493" t="s">
        <v>469</v>
      </c>
      <c r="K43" s="492" t="s">
        <v>98</v>
      </c>
      <c r="L43" s="492" t="s">
        <v>99</v>
      </c>
      <c r="M43" s="492" t="s">
        <v>100</v>
      </c>
      <c r="N43" s="1067" t="s">
        <v>557</v>
      </c>
      <c r="O43" s="148"/>
      <c r="Q43" s="25"/>
      <c r="R43" s="10"/>
      <c r="S43" s="10"/>
      <c r="T43" s="10"/>
      <c r="U43" s="10"/>
      <c r="V43" s="10"/>
      <c r="W43" s="10"/>
      <c r="X43" s="10"/>
      <c r="Y43" s="60"/>
    </row>
    <row r="44" spans="1:25" s="2" customFormat="1" ht="30" customHeight="1" x14ac:dyDescent="0.25">
      <c r="A44" s="7"/>
      <c r="B44" s="1022">
        <v>1</v>
      </c>
      <c r="C44" s="1019"/>
      <c r="D44" s="476" t="e">
        <f>C44+(VLOOKUP($A$43,DATOS°!$A$37:$N$50,13,FALSE))*C44+(VLOOKUP($A$43,DATOS°!$A$37:$N$50,14,FALSE))</f>
        <v>#N/A</v>
      </c>
      <c r="E44" s="477"/>
      <c r="F44" s="478"/>
      <c r="G44" s="479">
        <f>E44+F44</f>
        <v>0</v>
      </c>
      <c r="H44" s="14"/>
      <c r="I44" s="486"/>
      <c r="J44" s="476" t="e">
        <f>I44+(VLOOKUP($O$43,DATOS°!$A$37:$N$50,13,FALSE))*I44+(VLOOKUP($O$43,DATOS°!$A$37:$N$50,14,FALSE))</f>
        <v>#N/A</v>
      </c>
      <c r="K44" s="487"/>
      <c r="L44" s="488"/>
      <c r="M44" s="489">
        <f>K44+L44</f>
        <v>0</v>
      </c>
      <c r="N44" s="490"/>
      <c r="O44" s="10"/>
      <c r="Q44" s="25"/>
      <c r="R44" s="10"/>
      <c r="S44" s="10"/>
      <c r="T44" s="10"/>
      <c r="U44" s="10"/>
      <c r="V44" s="10"/>
      <c r="W44" s="10"/>
      <c r="X44" s="10"/>
      <c r="Y44" s="60"/>
    </row>
    <row r="45" spans="1:25" s="2" customFormat="1" ht="30" customHeight="1" thickBot="1" x14ac:dyDescent="0.3">
      <c r="A45" s="7"/>
      <c r="B45" s="1023">
        <v>2</v>
      </c>
      <c r="C45" s="1020"/>
      <c r="D45" s="444" t="e">
        <f>C45+(VLOOKUP($A$43,DATOS°!$A$37:$N$50,13,FALSE))*C45+(VLOOKUP($A$43,DATOS°!$A$37:$N$50,14,FALSE))</f>
        <v>#N/A</v>
      </c>
      <c r="E45" s="170"/>
      <c r="F45" s="171"/>
      <c r="G45" s="429">
        <f>E45+F45</f>
        <v>0</v>
      </c>
      <c r="H45" s="14"/>
      <c r="I45" s="467"/>
      <c r="J45" s="444" t="e">
        <f>I45+(VLOOKUP($O$43,DATOS°!$A$37:$N$50,13,FALSE))*I45+(VLOOKUP($O$43,DATOS°!$A$37:$N$50,14,FALSE))</f>
        <v>#N/A</v>
      </c>
      <c r="K45" s="144"/>
      <c r="L45" s="145"/>
      <c r="M45" s="430">
        <f t="shared" ref="M45:M46" si="6">K45+L45</f>
        <v>0</v>
      </c>
      <c r="N45" s="146"/>
      <c r="O45" s="10"/>
      <c r="Q45" s="25"/>
      <c r="R45" s="10"/>
      <c r="S45" s="10"/>
      <c r="T45" s="10"/>
      <c r="U45" s="10"/>
      <c r="V45" s="10"/>
      <c r="W45" s="10"/>
      <c r="X45" s="10"/>
      <c r="Y45" s="60"/>
    </row>
    <row r="46" spans="1:25" s="15" customFormat="1" ht="30" customHeight="1" thickBot="1" x14ac:dyDescent="0.3">
      <c r="A46" s="104" t="s">
        <v>101</v>
      </c>
      <c r="B46" s="1184">
        <v>3</v>
      </c>
      <c r="C46" s="1021"/>
      <c r="D46" s="480" t="e">
        <f>C46+(VLOOKUP($A$43,DATOS°!$A$37:$N$50,13,FALSE))*C46+(VLOOKUP($A$43,DATOS°!$A$37:$N$50,14,FALSE))</f>
        <v>#N/A</v>
      </c>
      <c r="E46" s="481"/>
      <c r="F46" s="482"/>
      <c r="G46" s="483">
        <f t="shared" ref="G46" si="7">E46+F46</f>
        <v>0</v>
      </c>
      <c r="H46" s="14"/>
      <c r="I46" s="484"/>
      <c r="J46" s="480" t="e">
        <f>I46+(VLOOKUP($O$43,DATOS°!$A$37:$N$50,13,FALSE))*I46+(VLOOKUP($O$43,DATOS°!$A$37:$N$50,14,FALSE))</f>
        <v>#N/A</v>
      </c>
      <c r="K46" s="468"/>
      <c r="L46" s="469"/>
      <c r="M46" s="485">
        <f t="shared" si="6"/>
        <v>0</v>
      </c>
      <c r="N46" s="147"/>
      <c r="O46" s="14"/>
      <c r="Q46" s="473"/>
      <c r="R46" s="474"/>
      <c r="S46" s="474"/>
      <c r="T46" s="474"/>
      <c r="U46" s="474"/>
      <c r="V46" s="474"/>
      <c r="W46" s="474"/>
      <c r="X46" s="474"/>
      <c r="Y46" s="475"/>
    </row>
    <row r="47" spans="1:25" s="15" customFormat="1" ht="33.75" customHeight="1" thickBot="1" x14ac:dyDescent="0.3">
      <c r="A47" s="13"/>
      <c r="B47" s="1489" t="s">
        <v>592</v>
      </c>
      <c r="C47" s="1490"/>
      <c r="D47" s="1490"/>
      <c r="E47" s="1490"/>
      <c r="F47" s="1491"/>
      <c r="G47" s="1070" t="e">
        <f>AVERAGE(D44:D46)</f>
        <v>#N/A</v>
      </c>
      <c r="H47" s="14"/>
      <c r="I47" s="1492" t="s">
        <v>592</v>
      </c>
      <c r="J47" s="1493"/>
      <c r="K47" s="1493"/>
      <c r="L47" s="1493"/>
      <c r="M47" s="1494"/>
      <c r="N47" s="1070" t="e">
        <f>AVERAGE(J44:J46)</f>
        <v>#N/A</v>
      </c>
      <c r="O47" s="14"/>
      <c r="Q47" s="10"/>
      <c r="R47" s="10"/>
      <c r="S47" s="10"/>
      <c r="T47" s="10"/>
      <c r="U47" s="10"/>
      <c r="V47" s="10"/>
      <c r="W47" s="10"/>
      <c r="X47" s="10"/>
      <c r="Y47" s="60"/>
    </row>
    <row r="48" spans="1:25" s="15" customFormat="1" ht="45" customHeight="1" x14ac:dyDescent="0.25">
      <c r="A48" s="13"/>
      <c r="O48" s="14"/>
      <c r="Q48" s="10"/>
      <c r="R48" s="10"/>
      <c r="S48" s="10"/>
      <c r="T48" s="10"/>
      <c r="U48" s="10"/>
      <c r="V48" s="10"/>
      <c r="W48" s="10"/>
      <c r="X48" s="10"/>
      <c r="Y48" s="60"/>
    </row>
    <row r="49" spans="1:18" s="15" customFormat="1" ht="45" customHeight="1" x14ac:dyDescent="0.25">
      <c r="A49" s="13"/>
      <c r="B49" s="14"/>
    </row>
    <row r="50" spans="1:18" s="15" customFormat="1" ht="30" customHeight="1" x14ac:dyDescent="0.25">
      <c r="A50" s="13"/>
      <c r="B50" s="13"/>
      <c r="C50" s="13"/>
      <c r="D50" s="13"/>
      <c r="E50" s="13"/>
      <c r="F50" s="13"/>
      <c r="G50" s="13"/>
      <c r="H50" s="13"/>
      <c r="I50" s="13"/>
      <c r="J50" s="13"/>
      <c r="K50" s="13"/>
      <c r="L50" s="13"/>
      <c r="M50" s="13"/>
      <c r="N50" s="13"/>
      <c r="O50" s="13"/>
      <c r="P50" s="13"/>
      <c r="Q50" s="13"/>
      <c r="R50" s="13"/>
    </row>
    <row r="51" spans="1:18" s="2" customFormat="1" ht="30" customHeight="1" x14ac:dyDescent="0.25">
      <c r="A51" s="7"/>
      <c r="B51" s="10"/>
      <c r="H51" s="10"/>
      <c r="N51" s="10"/>
      <c r="O51" s="10"/>
      <c r="P51" s="10"/>
      <c r="Q51" s="7"/>
      <c r="R51" s="7"/>
    </row>
    <row r="52" spans="1:18" s="10" customFormat="1" ht="25.5" customHeight="1" thickBot="1" x14ac:dyDescent="0.3">
      <c r="B52" s="16"/>
      <c r="C52" s="16"/>
      <c r="D52" s="16"/>
      <c r="E52" s="16"/>
      <c r="F52" s="16"/>
      <c r="G52" s="16"/>
      <c r="H52" s="16"/>
      <c r="I52" s="16"/>
      <c r="J52" s="16"/>
      <c r="K52" s="16"/>
      <c r="L52" s="16"/>
      <c r="M52" s="16"/>
      <c r="N52" s="16"/>
      <c r="O52" s="16"/>
    </row>
    <row r="53" spans="1:18" s="2" customFormat="1" ht="30" customHeight="1" thickBot="1" x14ac:dyDescent="0.3">
      <c r="A53" s="7"/>
      <c r="B53" s="7"/>
      <c r="C53" s="7"/>
      <c r="D53" s="7"/>
      <c r="E53" s="1454" t="s">
        <v>559</v>
      </c>
      <c r="F53" s="1455"/>
      <c r="G53" s="1455"/>
      <c r="H53" s="1455"/>
      <c r="I53" s="1455"/>
      <c r="J53" s="1455"/>
      <c r="K53" s="1455"/>
      <c r="L53" s="1456"/>
      <c r="M53" s="7"/>
      <c r="N53" s="7"/>
      <c r="O53" s="7"/>
      <c r="P53" s="7"/>
      <c r="Q53" s="7"/>
    </row>
    <row r="54" spans="1:18" s="2" customFormat="1" ht="30" customHeight="1" thickBot="1" x14ac:dyDescent="0.3">
      <c r="A54" s="7"/>
      <c r="E54" s="1480" t="s">
        <v>96</v>
      </c>
      <c r="F54" s="1481"/>
      <c r="G54" s="157" t="s">
        <v>177</v>
      </c>
      <c r="H54" s="158" t="s">
        <v>178</v>
      </c>
      <c r="I54" s="10"/>
      <c r="J54" s="159"/>
      <c r="K54" s="160"/>
      <c r="L54" s="161"/>
      <c r="M54" s="7"/>
      <c r="N54" s="162" t="s">
        <v>4</v>
      </c>
      <c r="O54" s="1472" t="s">
        <v>102</v>
      </c>
      <c r="P54" s="71"/>
      <c r="Q54" s="75" t="e">
        <f>IF(R30&gt;=(N55)," AJUSTAR","NO AJUSTAR")</f>
        <v>#N/A</v>
      </c>
      <c r="R54" s="68"/>
    </row>
    <row r="55" spans="1:18" s="2" customFormat="1" ht="30" customHeight="1" thickBot="1" x14ac:dyDescent="0.3">
      <c r="A55" s="7"/>
      <c r="E55" s="1474">
        <v>1</v>
      </c>
      <c r="F55" s="1475"/>
      <c r="G55" s="1139" t="e">
        <f>$C$7*((1-$D$33*($D$29-D44))+($K$55)*(J44-D44)+$F$33*($F$29-J44))</f>
        <v>#N/A</v>
      </c>
      <c r="H55" s="1140" t="e">
        <f>G55+N44</f>
        <v>#N/A</v>
      </c>
      <c r="I55" s="10"/>
      <c r="J55" s="885">
        <v>1</v>
      </c>
      <c r="K55" s="106" t="e">
        <f>(-0.1176*((D44+J44)/2)^2+(15.846*(D44+J44)/2)-62.677)*10^-6</f>
        <v>#N/A</v>
      </c>
      <c r="L55" s="107" t="s">
        <v>179</v>
      </c>
      <c r="M55" s="10"/>
      <c r="N55" s="533">
        <v>8.1940000000000008</v>
      </c>
      <c r="O55" s="1473"/>
      <c r="P55" s="74"/>
      <c r="Q55" s="163" t="e">
        <f>Q30</f>
        <v>#N/A</v>
      </c>
      <c r="R55" s="74"/>
    </row>
    <row r="56" spans="1:18" s="2" customFormat="1" ht="30" customHeight="1" thickBot="1" x14ac:dyDescent="0.3">
      <c r="A56" s="7"/>
      <c r="E56" s="1474">
        <v>2</v>
      </c>
      <c r="F56" s="1475"/>
      <c r="G56" s="1139" t="e">
        <f>$C$7*((1-$D$33*($D$29-D45))+($K$56)*(J45-D45)+$F$33*($F$29-J45))</f>
        <v>#N/A</v>
      </c>
      <c r="H56" s="1140" t="e">
        <f>G56+N45</f>
        <v>#N/A</v>
      </c>
      <c r="I56" s="10"/>
      <c r="J56" s="885">
        <v>2</v>
      </c>
      <c r="K56" s="106" t="e">
        <f>(-0.1176*((D45+J45)/2)^2+(15.846*(D45+J45)/2)-62.677)*10^-6</f>
        <v>#N/A</v>
      </c>
      <c r="L56" s="107" t="s">
        <v>179</v>
      </c>
      <c r="N56" s="164" t="s">
        <v>286</v>
      </c>
      <c r="O56" s="1476" t="s">
        <v>180</v>
      </c>
      <c r="P56" s="73"/>
      <c r="Q56" s="76" t="e">
        <f>IF(R28&gt;=(N57)," AJUSTAR","NO AJUSTAR")</f>
        <v>#N/A</v>
      </c>
      <c r="R56" s="70"/>
    </row>
    <row r="57" spans="1:18" s="2" customFormat="1" ht="30" customHeight="1" thickBot="1" x14ac:dyDescent="0.3">
      <c r="A57" s="7"/>
      <c r="E57" s="1474">
        <v>3</v>
      </c>
      <c r="F57" s="1475"/>
      <c r="G57" s="1139" t="e">
        <f>$C$7*((1-$D$33*($D$29-D46))+($K$57)*(J46-D46)+$F$33*($F$29-J46))</f>
        <v>#N/A</v>
      </c>
      <c r="H57" s="1140" t="e">
        <f>G57+N46</f>
        <v>#N/A</v>
      </c>
      <c r="I57" s="10"/>
      <c r="J57" s="885">
        <v>3</v>
      </c>
      <c r="K57" s="106" t="e">
        <f>(-0.1176*((D46+J46)/2)^2+(15.846*(D46+J46)/2)-62.677)*10^-6</f>
        <v>#N/A</v>
      </c>
      <c r="L57" s="107" t="s">
        <v>179</v>
      </c>
      <c r="N57" s="108">
        <v>0.5</v>
      </c>
      <c r="O57" s="1473"/>
      <c r="P57" s="72"/>
      <c r="Q57" s="165" t="e">
        <f>Q28</f>
        <v>#N/A</v>
      </c>
      <c r="R57" s="69"/>
    </row>
    <row r="58" spans="1:18" s="2" customFormat="1" ht="30" customHeight="1" thickBot="1" x14ac:dyDescent="0.3">
      <c r="A58" s="7"/>
      <c r="E58" s="1466" t="s">
        <v>181</v>
      </c>
      <c r="F58" s="1467"/>
      <c r="G58" s="1468"/>
      <c r="H58" s="1140" t="e">
        <f>AVERAGE(H55:H57)</f>
        <v>#N/A</v>
      </c>
      <c r="J58" s="19" t="s">
        <v>2</v>
      </c>
      <c r="K58" s="20" t="e">
        <f>AVERAGE(K55:K57)</f>
        <v>#N/A</v>
      </c>
      <c r="L58" s="21" t="s">
        <v>179</v>
      </c>
    </row>
    <row r="59" spans="1:18" s="2" customFormat="1" ht="30" customHeight="1" x14ac:dyDescent="0.25">
      <c r="A59" s="7"/>
      <c r="E59" s="1466" t="s">
        <v>182</v>
      </c>
      <c r="F59" s="1467"/>
      <c r="G59" s="1468"/>
      <c r="H59" s="109" t="e">
        <f>_xlfn.STDEV.S(H55:H57)</f>
        <v>#N/A</v>
      </c>
      <c r="I59" s="7"/>
    </row>
    <row r="60" spans="1:18" s="2" customFormat="1" ht="30" customHeight="1" thickBot="1" x14ac:dyDescent="0.3">
      <c r="A60" s="7"/>
      <c r="B60" s="10"/>
      <c r="E60" s="1469" t="s">
        <v>103</v>
      </c>
      <c r="F60" s="1470"/>
      <c r="G60" s="1471"/>
      <c r="H60" s="111" t="e">
        <f>H59/SQRT(3)</f>
        <v>#N/A</v>
      </c>
      <c r="I60" s="7"/>
      <c r="J60" s="10"/>
      <c r="K60" s="10"/>
      <c r="L60" s="10"/>
      <c r="M60" s="10"/>
      <c r="N60" s="10"/>
      <c r="O60" s="10"/>
      <c r="P60" s="10"/>
      <c r="Q60" s="7"/>
      <c r="R60" s="7"/>
    </row>
    <row r="61" spans="1:18" s="2" customFormat="1" ht="30" customHeight="1" x14ac:dyDescent="0.25">
      <c r="A61" s="7"/>
      <c r="B61" s="10"/>
      <c r="M61" s="10" t="s">
        <v>12</v>
      </c>
      <c r="N61" s="10"/>
      <c r="O61" s="10"/>
      <c r="P61" s="10"/>
      <c r="Q61" s="7"/>
      <c r="R61" s="7"/>
    </row>
    <row r="62" spans="1:18" s="10" customFormat="1" ht="22.5" customHeight="1" x14ac:dyDescent="0.25">
      <c r="A62" s="23"/>
      <c r="J62" s="8"/>
      <c r="K62" s="8"/>
      <c r="L62" s="24"/>
      <c r="M62" s="24"/>
      <c r="N62" s="24"/>
      <c r="O62" s="24"/>
      <c r="Q62" s="7"/>
      <c r="R62" s="7"/>
    </row>
    <row r="63" spans="1:18" s="2" customFormat="1" ht="30" customHeight="1" thickBot="1" x14ac:dyDescent="0.3">
      <c r="M63" s="10"/>
      <c r="N63" s="10"/>
      <c r="O63" s="10"/>
      <c r="P63" s="10"/>
      <c r="Q63" s="7"/>
      <c r="R63" s="7"/>
    </row>
    <row r="64" spans="1:18" s="2" customFormat="1" ht="30" customHeight="1" thickBot="1" x14ac:dyDescent="0.3">
      <c r="A64" s="10"/>
      <c r="B64" s="1454" t="s">
        <v>104</v>
      </c>
      <c r="C64" s="1455"/>
      <c r="D64" s="1455"/>
      <c r="E64" s="1455"/>
      <c r="F64" s="1455"/>
      <c r="G64" s="1455"/>
      <c r="H64" s="1455"/>
      <c r="I64" s="1455"/>
      <c r="J64" s="1455"/>
      <c r="K64" s="1455"/>
      <c r="L64" s="1456"/>
      <c r="M64" s="10"/>
      <c r="Q64" s="7"/>
      <c r="R64" s="7"/>
    </row>
    <row r="65" spans="1:18" s="2" customFormat="1" ht="30" customHeight="1" thickBot="1" x14ac:dyDescent="0.3">
      <c r="A65" s="10"/>
      <c r="B65" s="112"/>
      <c r="C65" s="22"/>
      <c r="D65" s="22"/>
      <c r="E65" s="22"/>
      <c r="F65" s="22"/>
      <c r="G65" s="22"/>
      <c r="H65" s="22"/>
      <c r="I65" s="22"/>
      <c r="J65" s="22"/>
      <c r="K65" s="994" t="s">
        <v>105</v>
      </c>
      <c r="L65" s="994" t="s">
        <v>68</v>
      </c>
      <c r="M65" s="10"/>
      <c r="N65" s="491" t="s">
        <v>68</v>
      </c>
      <c r="O65" s="492" t="s">
        <v>1</v>
      </c>
      <c r="P65" s="494" t="s">
        <v>0</v>
      </c>
      <c r="Q65" s="7"/>
      <c r="R65" s="7"/>
    </row>
    <row r="66" spans="1:18" s="10" customFormat="1" ht="30" customHeight="1" thickBot="1" x14ac:dyDescent="0.3">
      <c r="B66" s="1464" t="s">
        <v>213</v>
      </c>
      <c r="C66" s="1465"/>
      <c r="D66" s="1465"/>
      <c r="E66" s="715"/>
      <c r="F66" s="715"/>
      <c r="G66" s="113"/>
      <c r="H66" s="113"/>
      <c r="I66" s="113"/>
      <c r="J66" s="113"/>
      <c r="K66" s="995" t="e">
        <f>(1-$O$74*(O72-O68))+(O78)*(P70-O68)+P76*(P80-P70)</f>
        <v>#N/A</v>
      </c>
      <c r="L66" s="997" t="s">
        <v>345</v>
      </c>
      <c r="N66" s="991"/>
      <c r="O66" s="992" t="e">
        <f>C7</f>
        <v>#N/A</v>
      </c>
      <c r="P66" s="993"/>
    </row>
    <row r="67" spans="1:18" s="2" customFormat="1" ht="5.0999999999999996" customHeight="1" thickBot="1" x14ac:dyDescent="0.3">
      <c r="A67" s="10"/>
      <c r="B67" s="59"/>
      <c r="C67" s="9"/>
      <c r="D67" s="9"/>
      <c r="E67" s="9"/>
      <c r="F67" s="114"/>
      <c r="G67" s="110"/>
      <c r="H67" s="110"/>
      <c r="I67" s="110"/>
      <c r="J67" s="110"/>
      <c r="K67" s="9"/>
      <c r="L67" s="998"/>
      <c r="M67" s="10"/>
      <c r="N67" s="26"/>
      <c r="O67" s="27"/>
      <c r="P67" s="28"/>
      <c r="R67" s="7"/>
    </row>
    <row r="68" spans="1:18" s="7" customFormat="1" ht="30" customHeight="1" thickBot="1" x14ac:dyDescent="0.3">
      <c r="A68" s="10"/>
      <c r="B68" s="1464" t="s">
        <v>214</v>
      </c>
      <c r="C68" s="1465"/>
      <c r="D68" s="1465"/>
      <c r="E68" s="1465"/>
      <c r="F68" s="715"/>
      <c r="G68" s="113"/>
      <c r="H68" s="113"/>
      <c r="I68" s="113"/>
      <c r="J68" s="113"/>
      <c r="K68" s="995" t="e">
        <f>$O$66*(O74-O78)</f>
        <v>#N/A</v>
      </c>
      <c r="L68" s="997" t="s">
        <v>369</v>
      </c>
      <c r="N68" s="29"/>
      <c r="O68" s="30" t="e">
        <f>G47</f>
        <v>#N/A</v>
      </c>
      <c r="P68" s="535"/>
    </row>
    <row r="69" spans="1:18" s="2" customFormat="1" ht="5.0999999999999996" customHeight="1" thickBot="1" x14ac:dyDescent="0.3">
      <c r="A69" s="10"/>
      <c r="B69" s="59"/>
      <c r="C69" s="9"/>
      <c r="D69" s="9"/>
      <c r="E69" s="9"/>
      <c r="F69" s="114"/>
      <c r="G69" s="110"/>
      <c r="H69" s="110"/>
      <c r="I69" s="110"/>
      <c r="J69" s="110"/>
      <c r="K69" s="9"/>
      <c r="L69" s="999"/>
      <c r="M69" s="7"/>
      <c r="N69" s="26"/>
      <c r="O69" s="27"/>
      <c r="P69" s="28"/>
      <c r="Q69" s="7"/>
      <c r="R69" s="7"/>
    </row>
    <row r="70" spans="1:18" s="7" customFormat="1" ht="30" customHeight="1" thickBot="1" x14ac:dyDescent="0.3">
      <c r="A70" s="10"/>
      <c r="B70" s="1464" t="s">
        <v>215</v>
      </c>
      <c r="C70" s="1465"/>
      <c r="D70" s="1465"/>
      <c r="E70" s="1465"/>
      <c r="F70" s="715"/>
      <c r="G70" s="113"/>
      <c r="H70" s="113"/>
      <c r="I70" s="113"/>
      <c r="J70" s="113"/>
      <c r="K70" s="995" t="e">
        <f>$O$66*(O78-P76)</f>
        <v>#N/A</v>
      </c>
      <c r="L70" s="997" t="s">
        <v>369</v>
      </c>
      <c r="N70" s="29"/>
      <c r="O70" s="536"/>
      <c r="P70" s="31" t="e">
        <f>N47</f>
        <v>#N/A</v>
      </c>
    </row>
    <row r="71" spans="1:18" s="2" customFormat="1" ht="5.0999999999999996" customHeight="1" thickBot="1" x14ac:dyDescent="0.3">
      <c r="A71" s="10"/>
      <c r="B71" s="59"/>
      <c r="C71" s="9"/>
      <c r="D71" s="9"/>
      <c r="E71" s="9"/>
      <c r="F71" s="9"/>
      <c r="G71" s="110"/>
      <c r="H71" s="110"/>
      <c r="I71" s="110"/>
      <c r="J71" s="110"/>
      <c r="K71" s="9"/>
      <c r="L71" s="999"/>
      <c r="M71" s="7"/>
      <c r="N71" s="26"/>
      <c r="O71" s="27"/>
      <c r="P71" s="28"/>
      <c r="Q71" s="7"/>
      <c r="R71" s="7"/>
    </row>
    <row r="72" spans="1:18" s="7" customFormat="1" ht="30" customHeight="1" thickBot="1" x14ac:dyDescent="0.3">
      <c r="A72" s="10"/>
      <c r="B72" s="1464" t="s">
        <v>212</v>
      </c>
      <c r="C72" s="1465"/>
      <c r="D72" s="1465"/>
      <c r="E72" s="1465"/>
      <c r="F72" s="1465"/>
      <c r="G72" s="113"/>
      <c r="H72" s="113"/>
      <c r="I72" s="113"/>
      <c r="J72" s="113"/>
      <c r="K72" s="995" t="e">
        <f>-O$66*(O72-O68)</f>
        <v>#N/A</v>
      </c>
      <c r="L72" s="997" t="s">
        <v>346</v>
      </c>
      <c r="N72" s="32"/>
      <c r="O72" s="12" t="e">
        <f>D29</f>
        <v>#N/A</v>
      </c>
      <c r="P72" s="33"/>
    </row>
    <row r="73" spans="1:18" s="2" customFormat="1" ht="5.0999999999999996" customHeight="1" thickBot="1" x14ac:dyDescent="0.3">
      <c r="A73" s="10"/>
      <c r="B73" s="59"/>
      <c r="C73" s="9"/>
      <c r="D73" s="9"/>
      <c r="E73" s="9"/>
      <c r="F73" s="9"/>
      <c r="G73" s="110"/>
      <c r="H73" s="110"/>
      <c r="I73" s="110"/>
      <c r="J73" s="110"/>
      <c r="K73" s="9"/>
      <c r="L73" s="999"/>
      <c r="M73" s="7"/>
      <c r="N73" s="26"/>
      <c r="O73" s="27"/>
      <c r="P73" s="28"/>
      <c r="Q73" s="7"/>
      <c r="R73" s="7"/>
    </row>
    <row r="74" spans="1:18" s="7" customFormat="1" ht="30" customHeight="1" thickBot="1" x14ac:dyDescent="0.3">
      <c r="A74" s="10"/>
      <c r="B74" s="1464" t="s">
        <v>211</v>
      </c>
      <c r="C74" s="1465"/>
      <c r="D74" s="1465"/>
      <c r="E74" s="1465"/>
      <c r="F74" s="1465"/>
      <c r="G74" s="115"/>
      <c r="H74" s="115"/>
      <c r="I74" s="115"/>
      <c r="J74" s="113"/>
      <c r="K74" s="995" t="e">
        <f>$O$66*(P80-P70)</f>
        <v>#N/A</v>
      </c>
      <c r="L74" s="997" t="s">
        <v>346</v>
      </c>
      <c r="N74" s="29"/>
      <c r="O74" s="66" t="e">
        <f>D33</f>
        <v>#N/A</v>
      </c>
      <c r="P74" s="535"/>
    </row>
    <row r="75" spans="1:18" s="2" customFormat="1" ht="5.0999999999999996" customHeight="1" thickBot="1" x14ac:dyDescent="0.3">
      <c r="A75" s="10"/>
      <c r="B75" s="59"/>
      <c r="C75" s="9"/>
      <c r="D75" s="9"/>
      <c r="E75" s="9"/>
      <c r="F75" s="9"/>
      <c r="G75" s="110"/>
      <c r="H75" s="110"/>
      <c r="I75" s="110"/>
      <c r="J75" s="110"/>
      <c r="K75" s="9"/>
      <c r="L75" s="999"/>
      <c r="M75" s="7"/>
      <c r="N75" s="26"/>
      <c r="O75" s="27"/>
      <c r="P75" s="28"/>
      <c r="Q75" s="7"/>
      <c r="R75" s="7"/>
    </row>
    <row r="76" spans="1:18" s="7" customFormat="1" ht="30" customHeight="1" thickBot="1" x14ac:dyDescent="0.3">
      <c r="A76" s="10"/>
      <c r="B76" s="1464" t="s">
        <v>106</v>
      </c>
      <c r="C76" s="1465"/>
      <c r="D76" s="1465"/>
      <c r="E76" s="1465"/>
      <c r="F76" s="1465"/>
      <c r="G76" s="113"/>
      <c r="H76" s="113"/>
      <c r="I76" s="113"/>
      <c r="J76" s="113"/>
      <c r="K76" s="995" t="e">
        <f>$O$66*(P70-O68)</f>
        <v>#N/A</v>
      </c>
      <c r="L76" s="997" t="s">
        <v>346</v>
      </c>
      <c r="N76" s="29"/>
      <c r="O76" s="536"/>
      <c r="P76" s="431" t="e">
        <f>F33</f>
        <v>#N/A</v>
      </c>
    </row>
    <row r="77" spans="1:18" s="2" customFormat="1" ht="5.0999999999999996" customHeight="1" thickBot="1" x14ac:dyDescent="0.3">
      <c r="A77" s="10"/>
      <c r="B77" s="59"/>
      <c r="C77" s="9"/>
      <c r="D77" s="9"/>
      <c r="E77" s="114"/>
      <c r="F77" s="114"/>
      <c r="G77" s="110"/>
      <c r="H77" s="110"/>
      <c r="I77" s="110"/>
      <c r="J77" s="110"/>
      <c r="K77" s="9"/>
      <c r="L77" s="1000"/>
      <c r="M77" s="24"/>
      <c r="N77" s="34"/>
      <c r="O77" s="27"/>
      <c r="P77" s="28"/>
      <c r="Q77" s="7"/>
      <c r="R77" s="7"/>
    </row>
    <row r="78" spans="1:18" s="7" customFormat="1" ht="30" customHeight="1" thickBot="1" x14ac:dyDescent="0.3">
      <c r="A78" s="10"/>
      <c r="B78" s="1464" t="s">
        <v>107</v>
      </c>
      <c r="C78" s="1465"/>
      <c r="D78" s="1465"/>
      <c r="E78" s="116"/>
      <c r="F78" s="116"/>
      <c r="G78" s="115"/>
      <c r="H78" s="115"/>
      <c r="I78" s="115"/>
      <c r="J78" s="113"/>
      <c r="K78" s="996">
        <v>1</v>
      </c>
      <c r="L78" s="997" t="s">
        <v>345</v>
      </c>
      <c r="M78" s="24"/>
      <c r="N78" s="29"/>
      <c r="O78" s="18" t="e">
        <f>D37</f>
        <v>#N/A</v>
      </c>
      <c r="P78" s="35" t="e">
        <f>F37</f>
        <v>#N/A</v>
      </c>
    </row>
    <row r="79" spans="1:18" s="2" customFormat="1" ht="5.0999999999999996" customHeight="1" thickBot="1" x14ac:dyDescent="0.3">
      <c r="A79" s="4"/>
      <c r="B79" s="59"/>
      <c r="C79" s="9"/>
      <c r="D79" s="9"/>
      <c r="E79" s="114"/>
      <c r="F79" s="114"/>
      <c r="G79" s="110"/>
      <c r="H79" s="110"/>
      <c r="I79" s="110"/>
      <c r="J79" s="110"/>
      <c r="K79" s="9"/>
      <c r="L79" s="1000"/>
      <c r="M79" s="24"/>
      <c r="N79" s="34"/>
      <c r="O79" s="27"/>
      <c r="P79" s="28"/>
      <c r="Q79" s="7"/>
      <c r="R79" s="7"/>
    </row>
    <row r="80" spans="1:18" s="7" customFormat="1" ht="30" customHeight="1" thickBot="1" x14ac:dyDescent="0.3">
      <c r="A80" s="10"/>
      <c r="B80" s="1464" t="s">
        <v>108</v>
      </c>
      <c r="C80" s="1465"/>
      <c r="D80" s="1465"/>
      <c r="E80" s="116"/>
      <c r="F80" s="116"/>
      <c r="G80" s="115"/>
      <c r="H80" s="115"/>
      <c r="I80" s="115"/>
      <c r="J80" s="113"/>
      <c r="K80" s="996">
        <v>1</v>
      </c>
      <c r="L80" s="997" t="s">
        <v>345</v>
      </c>
      <c r="M80" s="24"/>
      <c r="N80" s="36"/>
      <c r="O80" s="990"/>
      <c r="P80" s="432" t="e">
        <f>F29</f>
        <v>#N/A</v>
      </c>
    </row>
    <row r="81" spans="1:18" s="2" customFormat="1" ht="5.0999999999999996" customHeight="1" thickBot="1" x14ac:dyDescent="0.3">
      <c r="A81" s="10"/>
      <c r="B81" s="59"/>
      <c r="C81" s="9"/>
      <c r="D81" s="9"/>
      <c r="E81" s="114"/>
      <c r="F81" s="114"/>
      <c r="G81" s="110"/>
      <c r="H81" s="110"/>
      <c r="I81" s="110"/>
      <c r="J81" s="110"/>
      <c r="K81" s="9"/>
      <c r="L81" s="1000"/>
      <c r="M81" s="24"/>
      <c r="Q81" s="7"/>
      <c r="R81" s="7"/>
    </row>
    <row r="82" spans="1:18" s="7" customFormat="1" ht="30" customHeight="1" thickBot="1" x14ac:dyDescent="0.3">
      <c r="A82" s="10"/>
      <c r="B82" s="1464" t="s">
        <v>109</v>
      </c>
      <c r="C82" s="1465"/>
      <c r="D82" s="1465"/>
      <c r="E82" s="715"/>
      <c r="F82" s="715"/>
      <c r="G82" s="113"/>
      <c r="H82" s="113"/>
      <c r="I82" s="113"/>
      <c r="J82" s="113"/>
      <c r="K82" s="996">
        <v>1</v>
      </c>
      <c r="L82" s="997" t="s">
        <v>345</v>
      </c>
      <c r="M82" s="24"/>
    </row>
    <row r="83" spans="1:18" s="7" customFormat="1" ht="9.75" customHeight="1" thickBot="1" x14ac:dyDescent="0.3">
      <c r="A83" s="10"/>
      <c r="B83" s="473"/>
      <c r="C83" s="474"/>
      <c r="D83" s="474"/>
      <c r="E83" s="474"/>
      <c r="F83" s="474"/>
      <c r="G83" s="474"/>
      <c r="H83" s="474"/>
      <c r="I83" s="474"/>
      <c r="J83" s="474"/>
      <c r="K83" s="474"/>
      <c r="L83" s="1001"/>
      <c r="M83" s="24"/>
      <c r="N83" s="24"/>
      <c r="O83" s="37"/>
      <c r="P83" s="10"/>
    </row>
    <row r="84" spans="1:18" s="7" customFormat="1" ht="39.75" customHeight="1" x14ac:dyDescent="0.25">
      <c r="A84" s="10"/>
      <c r="B84" s="24"/>
      <c r="C84" s="24"/>
      <c r="D84" s="24"/>
      <c r="E84" s="24"/>
      <c r="F84" s="24"/>
      <c r="G84" s="24"/>
      <c r="H84" s="24"/>
      <c r="I84" s="24"/>
      <c r="J84" s="24"/>
      <c r="K84" s="24"/>
      <c r="L84" s="24"/>
      <c r="M84" s="24"/>
    </row>
    <row r="85" spans="1:18" s="7" customFormat="1" ht="34.5" customHeight="1" thickBot="1" x14ac:dyDescent="0.3">
      <c r="A85" s="10"/>
      <c r="M85" s="24"/>
      <c r="N85" s="24"/>
      <c r="O85" s="37"/>
      <c r="P85" s="10"/>
    </row>
    <row r="86" spans="1:18" s="7" customFormat="1" ht="34.5" customHeight="1" thickBot="1" x14ac:dyDescent="0.3">
      <c r="A86" s="24"/>
      <c r="B86" s="1454" t="s">
        <v>110</v>
      </c>
      <c r="C86" s="1455"/>
      <c r="D86" s="1455"/>
      <c r="E86" s="1455"/>
      <c r="F86" s="1455"/>
      <c r="G86" s="1455"/>
      <c r="H86" s="1455"/>
      <c r="I86" s="1455"/>
      <c r="J86" s="1455"/>
      <c r="K86" s="1455"/>
      <c r="L86" s="1455"/>
      <c r="M86" s="1455"/>
      <c r="N86" s="1455"/>
      <c r="O86" s="1455"/>
      <c r="P86" s="1455"/>
      <c r="Q86" s="1456"/>
    </row>
    <row r="87" spans="1:18" s="2" customFormat="1" ht="39.950000000000003" customHeight="1" thickBot="1" x14ac:dyDescent="0.3">
      <c r="B87" s="1457" t="s">
        <v>111</v>
      </c>
      <c r="C87" s="1458"/>
      <c r="D87" s="249" t="s">
        <v>183</v>
      </c>
      <c r="E87" s="1010" t="s">
        <v>112</v>
      </c>
      <c r="F87" s="249"/>
      <c r="G87" s="249" t="s">
        <v>113</v>
      </c>
      <c r="H87" s="493" t="s">
        <v>114</v>
      </c>
      <c r="I87" s="249"/>
      <c r="J87" s="492" t="s">
        <v>115</v>
      </c>
      <c r="K87" s="249"/>
      <c r="L87" s="492" t="s">
        <v>116</v>
      </c>
      <c r="M87" s="249"/>
      <c r="N87" s="492" t="s">
        <v>379</v>
      </c>
      <c r="O87" s="492" t="s">
        <v>117</v>
      </c>
      <c r="P87" s="492" t="s">
        <v>118</v>
      </c>
      <c r="Q87" s="1011" t="s">
        <v>119</v>
      </c>
    </row>
    <row r="88" spans="1:18" s="2" customFormat="1" ht="39.950000000000003" customHeight="1" x14ac:dyDescent="0.25">
      <c r="A88" s="7"/>
      <c r="B88" s="1459" t="s">
        <v>120</v>
      </c>
      <c r="C88" s="1460"/>
      <c r="D88" s="1101" t="e">
        <f>C7</f>
        <v>#N/A</v>
      </c>
      <c r="E88" s="1007"/>
      <c r="F88" s="1007"/>
      <c r="G88" s="1007"/>
      <c r="H88" s="1007"/>
      <c r="I88" s="1007"/>
      <c r="J88" s="1007"/>
      <c r="K88" s="1007"/>
      <c r="L88" s="1007"/>
      <c r="M88" s="1007"/>
      <c r="N88" s="1008"/>
      <c r="O88" s="1007"/>
      <c r="P88" s="1007"/>
      <c r="Q88" s="1009"/>
    </row>
    <row r="89" spans="1:18" s="37" customFormat="1" ht="39.950000000000003" customHeight="1" x14ac:dyDescent="0.25">
      <c r="B89" s="1448" t="s">
        <v>121</v>
      </c>
      <c r="C89" s="1449"/>
      <c r="D89" s="1002"/>
      <c r="E89" s="124" t="e">
        <f>I7</f>
        <v>#N/A</v>
      </c>
      <c r="F89" s="425" t="s">
        <v>4</v>
      </c>
      <c r="G89" s="38" t="e">
        <f>O7</f>
        <v>#N/A</v>
      </c>
      <c r="H89" s="38" t="e">
        <f>E89/G89</f>
        <v>#N/A</v>
      </c>
      <c r="I89" s="425" t="s">
        <v>4</v>
      </c>
      <c r="J89" s="118" t="e">
        <f>K66</f>
        <v>#N/A</v>
      </c>
      <c r="K89" s="39"/>
      <c r="L89" s="119" t="e">
        <f>H89*J89</f>
        <v>#N/A</v>
      </c>
      <c r="M89" s="39" t="s">
        <v>4</v>
      </c>
      <c r="N89" s="118" t="e">
        <f>L89^2</f>
        <v>#N/A</v>
      </c>
      <c r="O89" s="39" t="s">
        <v>19</v>
      </c>
      <c r="P89" s="39" t="s">
        <v>122</v>
      </c>
      <c r="Q89" s="40">
        <v>50</v>
      </c>
    </row>
    <row r="90" spans="1:18" s="2" customFormat="1" ht="39.950000000000003" customHeight="1" thickBot="1" x14ac:dyDescent="0.3">
      <c r="A90" s="1461"/>
      <c r="B90" s="1452" t="s">
        <v>123</v>
      </c>
      <c r="C90" s="1453"/>
      <c r="D90" s="1002"/>
      <c r="E90" s="118" t="e">
        <f>K7</f>
        <v>#N/A</v>
      </c>
      <c r="F90" s="117" t="s">
        <v>4</v>
      </c>
      <c r="G90" s="38">
        <f>SQRT(3)</f>
        <v>1.7320508075688772</v>
      </c>
      <c r="H90" s="38" t="e">
        <f>E90/G90</f>
        <v>#N/A</v>
      </c>
      <c r="I90" s="117" t="str">
        <f>F90</f>
        <v>mL</v>
      </c>
      <c r="J90" s="118" t="e">
        <f>K66</f>
        <v>#N/A</v>
      </c>
      <c r="K90" s="39" t="s">
        <v>591</v>
      </c>
      <c r="L90" s="119" t="e">
        <f>H90*J90</f>
        <v>#N/A</v>
      </c>
      <c r="M90" s="39" t="s">
        <v>4</v>
      </c>
      <c r="N90" s="118" t="e">
        <f>L90^2</f>
        <v>#N/A</v>
      </c>
      <c r="O90" s="39" t="s">
        <v>19</v>
      </c>
      <c r="P90" s="39" t="s">
        <v>5</v>
      </c>
      <c r="Q90" s="40" t="s">
        <v>11</v>
      </c>
      <c r="R90" s="7"/>
    </row>
    <row r="91" spans="1:18" s="2" customFormat="1" ht="5.0999999999999996" customHeight="1" thickBot="1" x14ac:dyDescent="0.3">
      <c r="A91" s="1461"/>
      <c r="B91" s="1462"/>
      <c r="C91" s="1463"/>
      <c r="D91" s="884"/>
      <c r="E91" s="667"/>
      <c r="F91" s="667"/>
      <c r="G91" s="667"/>
      <c r="H91" s="667"/>
      <c r="I91" s="667"/>
      <c r="J91" s="667"/>
      <c r="K91" s="667"/>
      <c r="L91" s="667"/>
      <c r="M91" s="667"/>
      <c r="N91" s="1115"/>
      <c r="O91" s="667"/>
      <c r="P91" s="667"/>
      <c r="Q91" s="668"/>
      <c r="R91" s="7"/>
    </row>
    <row r="92" spans="1:18" s="37" customFormat="1" ht="39.950000000000003" customHeight="1" x14ac:dyDescent="0.25">
      <c r="B92" s="1450" t="s">
        <v>216</v>
      </c>
      <c r="C92" s="1451"/>
      <c r="D92" s="1102" t="e">
        <f>C18</f>
        <v>#N/A</v>
      </c>
      <c r="E92" s="666"/>
      <c r="F92" s="667"/>
      <c r="G92" s="667"/>
      <c r="H92" s="667"/>
      <c r="I92" s="667"/>
      <c r="J92" s="667"/>
      <c r="K92" s="667"/>
      <c r="L92" s="667"/>
      <c r="M92" s="667"/>
      <c r="N92" s="1115"/>
      <c r="O92" s="667"/>
      <c r="P92" s="667"/>
      <c r="Q92" s="668"/>
    </row>
    <row r="93" spans="1:18" s="2" customFormat="1" ht="39.950000000000003" customHeight="1" x14ac:dyDescent="0.25">
      <c r="A93" s="10"/>
      <c r="B93" s="1448" t="s">
        <v>217</v>
      </c>
      <c r="C93" s="1449"/>
      <c r="D93" s="1003"/>
      <c r="E93" s="119" t="e">
        <f>I18</f>
        <v>#N/A</v>
      </c>
      <c r="F93" s="120" t="str">
        <f>F19</f>
        <v>mL</v>
      </c>
      <c r="G93" s="121" t="e">
        <f>O18</f>
        <v>#N/A</v>
      </c>
      <c r="H93" s="119" t="e">
        <f>+E93/G93</f>
        <v>#N/A</v>
      </c>
      <c r="I93" s="120" t="str">
        <f>F93</f>
        <v>mL</v>
      </c>
      <c r="J93" s="122" t="e">
        <f>D36</f>
        <v>#N/A</v>
      </c>
      <c r="K93" s="120"/>
      <c r="L93" s="123" t="e">
        <f>H93*J93</f>
        <v>#N/A</v>
      </c>
      <c r="M93" s="120" t="s">
        <v>4</v>
      </c>
      <c r="N93" s="118" t="e">
        <f>L93^2</f>
        <v>#N/A</v>
      </c>
      <c r="O93" s="39" t="s">
        <v>19</v>
      </c>
      <c r="P93" s="39" t="s">
        <v>122</v>
      </c>
      <c r="Q93" s="40">
        <v>50</v>
      </c>
      <c r="R93" s="7"/>
    </row>
    <row r="94" spans="1:18" s="37" customFormat="1" ht="39.950000000000003" customHeight="1" x14ac:dyDescent="0.25">
      <c r="B94" s="1448" t="s">
        <v>218</v>
      </c>
      <c r="C94" s="1449"/>
      <c r="D94" s="1003"/>
      <c r="E94" s="119" t="e">
        <f>E18</f>
        <v>#N/A</v>
      </c>
      <c r="F94" s="120" t="str">
        <f>F19</f>
        <v>mL</v>
      </c>
      <c r="G94" s="119">
        <f>SQRT(12)</f>
        <v>3.4641016151377544</v>
      </c>
      <c r="H94" s="119" t="e">
        <f>+E94/G94</f>
        <v>#N/A</v>
      </c>
      <c r="I94" s="120" t="str">
        <f t="shared" ref="I94" si="8">F94</f>
        <v>mL</v>
      </c>
      <c r="J94" s="122" t="e">
        <f>D36</f>
        <v>#N/A</v>
      </c>
      <c r="K94" s="120"/>
      <c r="L94" s="118" t="e">
        <f>H94*J94</f>
        <v>#N/A</v>
      </c>
      <c r="M94" s="120" t="s">
        <v>4</v>
      </c>
      <c r="N94" s="118" t="e">
        <f t="shared" ref="N94" si="9">L94^2</f>
        <v>#N/A</v>
      </c>
      <c r="O94" s="39" t="s">
        <v>19</v>
      </c>
      <c r="P94" s="39" t="s">
        <v>5</v>
      </c>
      <c r="Q94" s="40" t="s">
        <v>11</v>
      </c>
    </row>
    <row r="95" spans="1:18" s="2" customFormat="1" ht="39.950000000000003" customHeight="1" thickBot="1" x14ac:dyDescent="0.3">
      <c r="A95" s="10"/>
      <c r="B95" s="1452" t="s">
        <v>219</v>
      </c>
      <c r="C95" s="1453"/>
      <c r="D95" s="1003"/>
      <c r="E95" s="119" t="e">
        <f>K18</f>
        <v>#N/A</v>
      </c>
      <c r="F95" s="120" t="str">
        <f>F19</f>
        <v>mL</v>
      </c>
      <c r="G95" s="118" t="e">
        <f>K18</f>
        <v>#N/A</v>
      </c>
      <c r="H95" s="124" t="e">
        <f>E95/G95</f>
        <v>#N/A</v>
      </c>
      <c r="I95" s="120" t="str">
        <f>F95</f>
        <v>mL</v>
      </c>
      <c r="J95" s="122" t="e">
        <f>D36</f>
        <v>#N/A</v>
      </c>
      <c r="K95" s="120"/>
      <c r="L95" s="122" t="e">
        <f t="shared" ref="L95" si="10">H95*J95</f>
        <v>#N/A</v>
      </c>
      <c r="M95" s="120" t="s">
        <v>4</v>
      </c>
      <c r="N95" s="118" t="e">
        <f>L95^2</f>
        <v>#N/A</v>
      </c>
      <c r="O95" s="39" t="s">
        <v>19</v>
      </c>
      <c r="P95" s="39" t="s">
        <v>5</v>
      </c>
      <c r="Q95" s="40" t="s">
        <v>11</v>
      </c>
      <c r="R95" s="7"/>
    </row>
    <row r="96" spans="1:18" s="2" customFormat="1" ht="5.0999999999999996" customHeight="1" thickBot="1" x14ac:dyDescent="0.3">
      <c r="A96" s="10"/>
      <c r="B96" s="1005"/>
      <c r="C96" s="1006"/>
      <c r="D96" s="125"/>
      <c r="E96" s="126"/>
      <c r="F96" s="127"/>
      <c r="G96" s="128"/>
      <c r="H96" s="129"/>
      <c r="I96" s="130"/>
      <c r="J96" s="131"/>
      <c r="K96" s="132"/>
      <c r="L96" s="129"/>
      <c r="M96" s="129"/>
      <c r="N96" s="132"/>
      <c r="O96" s="129"/>
      <c r="P96" s="129"/>
      <c r="Q96" s="133"/>
      <c r="R96" s="7"/>
    </row>
    <row r="97" spans="1:90" s="2" customFormat="1" ht="39.950000000000003" customHeight="1" x14ac:dyDescent="0.25">
      <c r="A97" s="10"/>
      <c r="B97" s="1450" t="s">
        <v>124</v>
      </c>
      <c r="C97" s="1451"/>
      <c r="D97" s="1102" t="e">
        <f>G47</f>
        <v>#N/A</v>
      </c>
      <c r="E97" s="134" t="e">
        <f>G47</f>
        <v>#N/A</v>
      </c>
      <c r="F97" s="117" t="s">
        <v>3</v>
      </c>
      <c r="G97" s="667"/>
      <c r="H97" s="667"/>
      <c r="I97" s="667"/>
      <c r="J97" s="135"/>
      <c r="K97" s="667"/>
      <c r="L97" s="667"/>
      <c r="M97" s="667"/>
      <c r="N97" s="1115"/>
      <c r="O97" s="667"/>
      <c r="P97" s="667"/>
      <c r="Q97" s="668"/>
      <c r="R97" s="7"/>
    </row>
    <row r="98" spans="1:90" s="2" customFormat="1" ht="39.950000000000003" customHeight="1" x14ac:dyDescent="0.25">
      <c r="A98" s="10"/>
      <c r="B98" s="1448" t="s">
        <v>125</v>
      </c>
      <c r="C98" s="1449"/>
      <c r="D98" s="1102" t="e">
        <f>E11</f>
        <v>#N/A</v>
      </c>
      <c r="E98" s="38" t="e">
        <f>E9</f>
        <v>#N/A</v>
      </c>
      <c r="F98" s="117" t="s">
        <v>3</v>
      </c>
      <c r="G98" s="38">
        <f>SQRT(12)</f>
        <v>3.4641016151377544</v>
      </c>
      <c r="H98" s="38" t="e">
        <f>E98/G98</f>
        <v>#N/A</v>
      </c>
      <c r="I98" s="253" t="s">
        <v>3</v>
      </c>
      <c r="J98" s="122" t="e">
        <f>K68</f>
        <v>#N/A</v>
      </c>
      <c r="K98" s="39" t="s">
        <v>591</v>
      </c>
      <c r="L98" s="38" t="e">
        <f t="shared" ref="L98:L111" si="11">H98*J98</f>
        <v>#N/A</v>
      </c>
      <c r="M98" s="39" t="s">
        <v>4</v>
      </c>
      <c r="N98" s="118" t="e">
        <f t="shared" ref="N98:N111" si="12">L98^2</f>
        <v>#N/A</v>
      </c>
      <c r="O98" s="39" t="s">
        <v>20</v>
      </c>
      <c r="P98" s="39" t="s">
        <v>5</v>
      </c>
      <c r="Q98" s="40" t="s">
        <v>11</v>
      </c>
      <c r="R98" s="7"/>
    </row>
    <row r="99" spans="1:90" s="37" customFormat="1" ht="39.950000000000003" customHeight="1" x14ac:dyDescent="0.25">
      <c r="B99" s="1448" t="s">
        <v>126</v>
      </c>
      <c r="C99" s="1449"/>
      <c r="D99" s="1003"/>
      <c r="E99" s="134" t="e">
        <f>MAX(I8:I12)</f>
        <v>#N/A</v>
      </c>
      <c r="F99" s="117" t="str">
        <f>F14</f>
        <v>°C</v>
      </c>
      <c r="G99" s="38" t="e">
        <f>O9</f>
        <v>#N/A</v>
      </c>
      <c r="H99" s="38" t="e">
        <f t="shared" ref="H99:H111" si="13">E99/G99</f>
        <v>#N/A</v>
      </c>
      <c r="I99" s="253" t="s">
        <v>3</v>
      </c>
      <c r="J99" s="122" t="e">
        <f>K68</f>
        <v>#N/A</v>
      </c>
      <c r="K99" s="39" t="s">
        <v>591</v>
      </c>
      <c r="L99" s="38" t="e">
        <f t="shared" si="11"/>
        <v>#N/A</v>
      </c>
      <c r="M99" s="39" t="s">
        <v>4</v>
      </c>
      <c r="N99" s="118" t="e">
        <f t="shared" si="12"/>
        <v>#N/A</v>
      </c>
      <c r="O99" s="39" t="s">
        <v>19</v>
      </c>
      <c r="P99" s="39" t="s">
        <v>122</v>
      </c>
      <c r="Q99" s="40">
        <v>50</v>
      </c>
    </row>
    <row r="100" spans="1:90" s="2" customFormat="1" ht="39.950000000000003" customHeight="1" x14ac:dyDescent="0.25">
      <c r="A100" s="10"/>
      <c r="B100" s="1448" t="s">
        <v>123</v>
      </c>
      <c r="C100" s="1449"/>
      <c r="D100" s="1003"/>
      <c r="E100" s="136" t="e">
        <f>K9</f>
        <v>#N/A</v>
      </c>
      <c r="F100" s="117" t="str">
        <f>F14</f>
        <v>°C</v>
      </c>
      <c r="G100" s="38">
        <f>SQRT(3)</f>
        <v>1.7320508075688772</v>
      </c>
      <c r="H100" s="38" t="e">
        <f t="shared" si="13"/>
        <v>#N/A</v>
      </c>
      <c r="I100" s="253" t="s">
        <v>3</v>
      </c>
      <c r="J100" s="122" t="e">
        <f>K68</f>
        <v>#N/A</v>
      </c>
      <c r="K100" s="39" t="s">
        <v>591</v>
      </c>
      <c r="L100" s="38" t="e">
        <f t="shared" si="11"/>
        <v>#N/A</v>
      </c>
      <c r="M100" s="39" t="s">
        <v>4</v>
      </c>
      <c r="N100" s="118" t="e">
        <f t="shared" si="12"/>
        <v>#N/A</v>
      </c>
      <c r="O100" s="39" t="s">
        <v>19</v>
      </c>
      <c r="P100" s="39" t="s">
        <v>5</v>
      </c>
      <c r="Q100" s="40" t="s">
        <v>11</v>
      </c>
      <c r="R100" s="7"/>
    </row>
    <row r="101" spans="1:90" s="2" customFormat="1" ht="39.950000000000003" customHeight="1" x14ac:dyDescent="0.25">
      <c r="A101" s="10"/>
      <c r="B101" s="1448" t="s">
        <v>127</v>
      </c>
      <c r="C101" s="1449"/>
      <c r="D101" s="1003"/>
      <c r="E101" s="134" t="e">
        <f>(MAX(D44:D46)-(MIN(D44:D46)))</f>
        <v>#N/A</v>
      </c>
      <c r="F101" s="117" t="str">
        <f>F14</f>
        <v>°C</v>
      </c>
      <c r="G101" s="38">
        <f>SQRT(12)</f>
        <v>3.4641016151377544</v>
      </c>
      <c r="H101" s="38" t="e">
        <f t="shared" si="13"/>
        <v>#N/A</v>
      </c>
      <c r="I101" s="253" t="s">
        <v>3</v>
      </c>
      <c r="J101" s="122" t="e">
        <f>K68</f>
        <v>#N/A</v>
      </c>
      <c r="K101" s="39" t="s">
        <v>591</v>
      </c>
      <c r="L101" s="38" t="e">
        <f t="shared" si="11"/>
        <v>#N/A</v>
      </c>
      <c r="M101" s="39" t="s">
        <v>4</v>
      </c>
      <c r="N101" s="118" t="e">
        <f t="shared" si="12"/>
        <v>#N/A</v>
      </c>
      <c r="O101" s="39" t="s">
        <v>20</v>
      </c>
      <c r="P101" s="39" t="s">
        <v>5</v>
      </c>
      <c r="Q101" s="40" t="s">
        <v>11</v>
      </c>
      <c r="R101" s="7"/>
    </row>
    <row r="102" spans="1:90" s="2" customFormat="1" ht="39.950000000000003" customHeight="1" x14ac:dyDescent="0.25">
      <c r="A102" s="10"/>
      <c r="B102" s="1448" t="s">
        <v>128</v>
      </c>
      <c r="C102" s="1449"/>
      <c r="D102" s="1102" t="e">
        <f>N47</f>
        <v>#N/A</v>
      </c>
      <c r="E102" s="134">
        <f>M50</f>
        <v>0</v>
      </c>
      <c r="F102" s="117" t="str">
        <f>F14</f>
        <v>°C</v>
      </c>
      <c r="G102" s="667"/>
      <c r="H102" s="667"/>
      <c r="I102" s="412"/>
      <c r="J102" s="135"/>
      <c r="K102" s="667"/>
      <c r="L102" s="667"/>
      <c r="M102" s="667"/>
      <c r="N102" s="1115"/>
      <c r="O102" s="667"/>
      <c r="P102" s="667"/>
      <c r="Q102" s="668"/>
      <c r="R102" s="7"/>
    </row>
    <row r="103" spans="1:90" s="2" customFormat="1" ht="39.950000000000003" customHeight="1" x14ac:dyDescent="0.25">
      <c r="A103" s="10"/>
      <c r="B103" s="1448" t="s">
        <v>125</v>
      </c>
      <c r="C103" s="1449"/>
      <c r="D103" s="1103" t="e">
        <f>E14</f>
        <v>#N/A</v>
      </c>
      <c r="E103" s="38" t="e">
        <f>E14</f>
        <v>#N/A</v>
      </c>
      <c r="F103" s="39" t="str">
        <f>F14</f>
        <v>°C</v>
      </c>
      <c r="G103" s="38">
        <f>SQRT(12)</f>
        <v>3.4641016151377544</v>
      </c>
      <c r="H103" s="38" t="e">
        <f t="shared" si="13"/>
        <v>#N/A</v>
      </c>
      <c r="I103" s="253" t="s">
        <v>3</v>
      </c>
      <c r="J103" s="118" t="e">
        <f>K70</f>
        <v>#N/A</v>
      </c>
      <c r="K103" s="39" t="s">
        <v>591</v>
      </c>
      <c r="L103" s="38" t="e">
        <f t="shared" si="11"/>
        <v>#N/A</v>
      </c>
      <c r="M103" s="39" t="s">
        <v>4</v>
      </c>
      <c r="N103" s="118" t="e">
        <f t="shared" si="12"/>
        <v>#N/A</v>
      </c>
      <c r="O103" s="39" t="s">
        <v>20</v>
      </c>
      <c r="P103" s="39" t="s">
        <v>5</v>
      </c>
      <c r="Q103" s="40" t="s">
        <v>11</v>
      </c>
      <c r="R103" s="7"/>
    </row>
    <row r="104" spans="1:90" s="37" customFormat="1" ht="39.950000000000003" customHeight="1" x14ac:dyDescent="0.25">
      <c r="B104" s="1446" t="s">
        <v>126</v>
      </c>
      <c r="C104" s="1447"/>
      <c r="D104" s="1003"/>
      <c r="E104" s="134" t="e">
        <f>MAX(I13:I17)</f>
        <v>#N/A</v>
      </c>
      <c r="F104" s="117" t="str">
        <f>F14</f>
        <v>°C</v>
      </c>
      <c r="G104" s="38" t="e">
        <f>O14</f>
        <v>#N/A</v>
      </c>
      <c r="H104" s="38" t="e">
        <f t="shared" si="13"/>
        <v>#N/A</v>
      </c>
      <c r="I104" s="253" t="s">
        <v>3</v>
      </c>
      <c r="J104" s="118" t="e">
        <f>K70</f>
        <v>#N/A</v>
      </c>
      <c r="K104" s="39" t="s">
        <v>591</v>
      </c>
      <c r="L104" s="38" t="e">
        <f>H104*J104</f>
        <v>#N/A</v>
      </c>
      <c r="M104" s="39" t="s">
        <v>4</v>
      </c>
      <c r="N104" s="118" t="e">
        <f>L104^2</f>
        <v>#N/A</v>
      </c>
      <c r="O104" s="39" t="s">
        <v>19</v>
      </c>
      <c r="P104" s="39" t="s">
        <v>122</v>
      </c>
      <c r="Q104" s="40">
        <v>50</v>
      </c>
    </row>
    <row r="105" spans="1:90" s="2" customFormat="1" ht="39.950000000000003" customHeight="1" x14ac:dyDescent="0.25">
      <c r="A105" s="10"/>
      <c r="B105" s="1446" t="s">
        <v>123</v>
      </c>
      <c r="C105" s="1447"/>
      <c r="D105" s="1004"/>
      <c r="E105" s="136" t="e">
        <f>K15</f>
        <v>#N/A</v>
      </c>
      <c r="F105" s="117" t="str">
        <f>F14</f>
        <v>°C</v>
      </c>
      <c r="G105" s="38">
        <f>SQRT(3)</f>
        <v>1.7320508075688772</v>
      </c>
      <c r="H105" s="38" t="e">
        <f t="shared" si="13"/>
        <v>#N/A</v>
      </c>
      <c r="I105" s="253" t="s">
        <v>3</v>
      </c>
      <c r="J105" s="118" t="e">
        <f>K70</f>
        <v>#N/A</v>
      </c>
      <c r="K105" s="39" t="s">
        <v>591</v>
      </c>
      <c r="L105" s="38" t="e">
        <f t="shared" si="11"/>
        <v>#N/A</v>
      </c>
      <c r="M105" s="39" t="s">
        <v>4</v>
      </c>
      <c r="N105" s="118" t="e">
        <f t="shared" si="12"/>
        <v>#N/A</v>
      </c>
      <c r="O105" s="39" t="s">
        <v>19</v>
      </c>
      <c r="P105" s="39" t="s">
        <v>5</v>
      </c>
      <c r="Q105" s="40" t="s">
        <v>11</v>
      </c>
      <c r="R105" s="7"/>
    </row>
    <row r="106" spans="1:90" s="2" customFormat="1" ht="39.950000000000003" customHeight="1" x14ac:dyDescent="0.25">
      <c r="A106" s="10"/>
      <c r="B106" s="1446" t="s">
        <v>127</v>
      </c>
      <c r="C106" s="1447"/>
      <c r="D106" s="1002"/>
      <c r="E106" s="137" t="e">
        <f>(MAX(J44:J46)-(MIN(J44:J46)))</f>
        <v>#N/A</v>
      </c>
      <c r="F106" s="117" t="str">
        <f>F14</f>
        <v>°C</v>
      </c>
      <c r="G106" s="38">
        <f>SQRT(12)</f>
        <v>3.4641016151377544</v>
      </c>
      <c r="H106" s="38" t="e">
        <f t="shared" si="13"/>
        <v>#N/A</v>
      </c>
      <c r="I106" s="253" t="s">
        <v>3</v>
      </c>
      <c r="J106" s="118" t="e">
        <f>K70</f>
        <v>#N/A</v>
      </c>
      <c r="K106" s="39" t="s">
        <v>591</v>
      </c>
      <c r="L106" s="38" t="e">
        <f t="shared" si="11"/>
        <v>#N/A</v>
      </c>
      <c r="M106" s="39" t="s">
        <v>4</v>
      </c>
      <c r="N106" s="118" t="e">
        <f t="shared" si="12"/>
        <v>#N/A</v>
      </c>
      <c r="O106" s="39" t="s">
        <v>20</v>
      </c>
      <c r="P106" s="39" t="s">
        <v>5</v>
      </c>
      <c r="Q106" s="40" t="s">
        <v>11</v>
      </c>
      <c r="R106" s="7"/>
    </row>
    <row r="107" spans="1:90" s="2" customFormat="1" ht="39.950000000000003" customHeight="1" x14ac:dyDescent="0.25">
      <c r="A107" s="10"/>
      <c r="B107" s="1446" t="s">
        <v>193</v>
      </c>
      <c r="C107" s="1447"/>
      <c r="D107" s="1104" t="e">
        <f>D37</f>
        <v>#N/A</v>
      </c>
      <c r="E107" s="138" t="e">
        <f>D37</f>
        <v>#N/A</v>
      </c>
      <c r="F107" s="39" t="s">
        <v>10</v>
      </c>
      <c r="G107" s="667"/>
      <c r="H107" s="667"/>
      <c r="I107" s="667"/>
      <c r="J107" s="135"/>
      <c r="K107" s="667"/>
      <c r="L107" s="667"/>
      <c r="M107" s="667"/>
      <c r="N107" s="667"/>
      <c r="O107" s="667"/>
      <c r="P107" s="667"/>
      <c r="Q107" s="668"/>
      <c r="R107" s="7"/>
    </row>
    <row r="108" spans="1:90" s="37" customFormat="1" ht="39.950000000000003" customHeight="1" x14ac:dyDescent="0.25">
      <c r="A108" s="10"/>
      <c r="B108" s="1446" t="s">
        <v>473</v>
      </c>
      <c r="C108" s="1447"/>
      <c r="D108" s="1002"/>
      <c r="E108" s="38" t="e">
        <f>(D37*B46)/100</f>
        <v>#N/A</v>
      </c>
      <c r="F108" s="39" t="s">
        <v>10</v>
      </c>
      <c r="G108" s="38">
        <f>SQRT(3)</f>
        <v>1.7320508075688772</v>
      </c>
      <c r="H108" s="38" t="e">
        <f t="shared" si="13"/>
        <v>#N/A</v>
      </c>
      <c r="I108" s="254" t="s">
        <v>344</v>
      </c>
      <c r="J108" s="118" t="e">
        <f>K76</f>
        <v>#N/A</v>
      </c>
      <c r="K108" s="1071" t="s">
        <v>346</v>
      </c>
      <c r="L108" s="38" t="e">
        <f t="shared" si="11"/>
        <v>#N/A</v>
      </c>
      <c r="M108" s="39" t="s">
        <v>4</v>
      </c>
      <c r="N108" s="118" t="e">
        <f t="shared" si="12"/>
        <v>#N/A</v>
      </c>
      <c r="O108" s="39" t="s">
        <v>129</v>
      </c>
      <c r="P108" s="39" t="s">
        <v>5</v>
      </c>
      <c r="Q108" s="40" t="s">
        <v>11</v>
      </c>
      <c r="S108" s="2"/>
    </row>
    <row r="109" spans="1:90" s="45" customFormat="1" ht="39.950000000000003" customHeight="1" x14ac:dyDescent="0.25">
      <c r="A109" s="10"/>
      <c r="B109" s="1446" t="s">
        <v>472</v>
      </c>
      <c r="C109" s="1447"/>
      <c r="D109" s="1105" t="s">
        <v>1</v>
      </c>
      <c r="E109" s="138" t="e">
        <f>(D33*B46)/100</f>
        <v>#N/A</v>
      </c>
      <c r="F109" s="39" t="s">
        <v>10</v>
      </c>
      <c r="G109" s="38">
        <f>SQRT(3)</f>
        <v>1.7320508075688772</v>
      </c>
      <c r="H109" s="38" t="e">
        <f t="shared" si="13"/>
        <v>#N/A</v>
      </c>
      <c r="I109" s="254" t="s">
        <v>344</v>
      </c>
      <c r="J109" s="134" t="e">
        <f>K72</f>
        <v>#N/A</v>
      </c>
      <c r="K109" s="1071" t="s">
        <v>346</v>
      </c>
      <c r="L109" s="38" t="e">
        <f t="shared" si="11"/>
        <v>#N/A</v>
      </c>
      <c r="M109" s="39" t="s">
        <v>4</v>
      </c>
      <c r="N109" s="118" t="e">
        <f t="shared" si="12"/>
        <v>#N/A</v>
      </c>
      <c r="O109" s="39" t="s">
        <v>130</v>
      </c>
      <c r="P109" s="39" t="s">
        <v>5</v>
      </c>
      <c r="Q109" s="40" t="s">
        <v>11</v>
      </c>
      <c r="R109" s="44"/>
      <c r="S109" s="7"/>
      <c r="T109" s="7"/>
      <c r="U109" s="7"/>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row>
    <row r="110" spans="1:90" s="37" customFormat="1" ht="39.950000000000003" customHeight="1" x14ac:dyDescent="0.25">
      <c r="B110" s="1446" t="s">
        <v>472</v>
      </c>
      <c r="C110" s="1447"/>
      <c r="D110" s="1105" t="s">
        <v>0</v>
      </c>
      <c r="E110" s="138" t="e">
        <f>(F33*B46)/100</f>
        <v>#N/A</v>
      </c>
      <c r="F110" s="39" t="s">
        <v>10</v>
      </c>
      <c r="G110" s="38">
        <f>SQRT(3)</f>
        <v>1.7320508075688772</v>
      </c>
      <c r="H110" s="38" t="e">
        <f t="shared" si="13"/>
        <v>#N/A</v>
      </c>
      <c r="I110" s="254" t="s">
        <v>344</v>
      </c>
      <c r="J110" s="134" t="e">
        <f>K74</f>
        <v>#N/A</v>
      </c>
      <c r="K110" s="1071" t="s">
        <v>346</v>
      </c>
      <c r="L110" s="38" t="e">
        <f t="shared" si="11"/>
        <v>#N/A</v>
      </c>
      <c r="M110" s="39" t="s">
        <v>4</v>
      </c>
      <c r="N110" s="118" t="e">
        <f t="shared" si="12"/>
        <v>#N/A</v>
      </c>
      <c r="O110" s="39" t="s">
        <v>131</v>
      </c>
      <c r="P110" s="39" t="s">
        <v>5</v>
      </c>
      <c r="Q110" s="40" t="s">
        <v>11</v>
      </c>
    </row>
    <row r="111" spans="1:90" s="2" customFormat="1" ht="39.950000000000003" customHeight="1" thickBot="1" x14ac:dyDescent="0.3">
      <c r="A111" s="7"/>
      <c r="B111" s="1426" t="s">
        <v>472</v>
      </c>
      <c r="C111" s="1427"/>
      <c r="D111" s="1106" t="s">
        <v>32</v>
      </c>
      <c r="E111" s="166">
        <f>((0.0000099*0.075)/(SQRT(12)))</f>
        <v>2.1434128743664856E-7</v>
      </c>
      <c r="F111" s="41" t="s">
        <v>10</v>
      </c>
      <c r="G111" s="42">
        <f>SQRT(3)</f>
        <v>1.7320508075688772</v>
      </c>
      <c r="H111" s="169">
        <f t="shared" si="13"/>
        <v>1.2375000000000001E-7</v>
      </c>
      <c r="I111" s="267" t="s">
        <v>344</v>
      </c>
      <c r="J111" s="168" t="e">
        <f>D36</f>
        <v>#N/A</v>
      </c>
      <c r="K111" s="1072" t="s">
        <v>346</v>
      </c>
      <c r="L111" s="169" t="e">
        <f t="shared" si="11"/>
        <v>#N/A</v>
      </c>
      <c r="M111" s="41" t="s">
        <v>4</v>
      </c>
      <c r="N111" s="167" t="e">
        <f t="shared" si="12"/>
        <v>#N/A</v>
      </c>
      <c r="O111" s="41" t="s">
        <v>131</v>
      </c>
      <c r="P111" s="41" t="s">
        <v>5</v>
      </c>
      <c r="Q111" s="43" t="s">
        <v>11</v>
      </c>
    </row>
    <row r="112" spans="1:90" s="2" customFormat="1" ht="30" customHeight="1" thickBot="1" x14ac:dyDescent="0.3">
      <c r="A112" s="24"/>
      <c r="R112" s="7"/>
    </row>
    <row r="113" spans="1:31" s="2" customFormat="1" ht="30" customHeight="1" thickBot="1" x14ac:dyDescent="0.3">
      <c r="A113" s="24"/>
      <c r="B113" s="1428" t="s">
        <v>132</v>
      </c>
      <c r="C113" s="1429"/>
      <c r="D113" s="1429"/>
      <c r="E113" s="1429"/>
      <c r="F113" s="1429"/>
      <c r="G113" s="1429"/>
      <c r="H113" s="1429"/>
      <c r="I113" s="1429"/>
      <c r="J113" s="1429"/>
      <c r="K113" s="1429"/>
      <c r="L113" s="1429"/>
      <c r="M113" s="1429"/>
      <c r="N113" s="1429"/>
      <c r="O113" s="1429"/>
      <c r="P113" s="1429"/>
      <c r="Q113" s="1430"/>
      <c r="R113" s="7"/>
    </row>
    <row r="114" spans="1:31" s="2" customFormat="1" ht="30" customHeight="1" x14ac:dyDescent="0.25">
      <c r="A114" s="10"/>
      <c r="B114" s="1431" t="s">
        <v>133</v>
      </c>
      <c r="C114" s="1432"/>
      <c r="D114" s="1012"/>
      <c r="E114" s="46" t="e">
        <f>(3.1416*(D34)^2/4)*D35</f>
        <v>#N/A</v>
      </c>
      <c r="F114" s="47" t="s">
        <v>4</v>
      </c>
      <c r="G114" s="46">
        <f>SQRT(3)</f>
        <v>1.7320508075688772</v>
      </c>
      <c r="H114" s="46" t="e">
        <f>E114/G114</f>
        <v>#N/A</v>
      </c>
      <c r="I114" s="47" t="s">
        <v>4</v>
      </c>
      <c r="J114" s="46">
        <v>1</v>
      </c>
      <c r="K114" s="47"/>
      <c r="L114" s="46" t="e">
        <f>H114*J114</f>
        <v>#N/A</v>
      </c>
      <c r="M114" s="47" t="s">
        <v>4</v>
      </c>
      <c r="N114" s="1116" t="e">
        <f>L114^2</f>
        <v>#N/A</v>
      </c>
      <c r="O114" s="47" t="s">
        <v>18</v>
      </c>
      <c r="P114" s="47" t="s">
        <v>5</v>
      </c>
      <c r="Q114" s="48" t="s">
        <v>11</v>
      </c>
      <c r="R114" s="7"/>
    </row>
    <row r="115" spans="1:31" s="2" customFormat="1" ht="30" customHeight="1" x14ac:dyDescent="0.25">
      <c r="B115" s="1433" t="s">
        <v>134</v>
      </c>
      <c r="C115" s="1434"/>
      <c r="D115" s="1013"/>
      <c r="E115" s="55" t="e">
        <f>((3.1416*(F34)^2)/4)*F35</f>
        <v>#N/A</v>
      </c>
      <c r="F115" s="39" t="s">
        <v>4</v>
      </c>
      <c r="G115" s="38">
        <f>SQRT(3)</f>
        <v>1.7320508075688772</v>
      </c>
      <c r="H115" s="38" t="e">
        <f>E115/G115</f>
        <v>#N/A</v>
      </c>
      <c r="I115" s="39" t="s">
        <v>4</v>
      </c>
      <c r="J115" s="38">
        <v>1</v>
      </c>
      <c r="K115" s="39"/>
      <c r="L115" s="38" t="e">
        <f>H115*J115</f>
        <v>#N/A</v>
      </c>
      <c r="M115" s="39" t="s">
        <v>4</v>
      </c>
      <c r="N115" s="118" t="e">
        <f>L115^2</f>
        <v>#N/A</v>
      </c>
      <c r="O115" s="39" t="s">
        <v>18</v>
      </c>
      <c r="P115" s="39" t="s">
        <v>5</v>
      </c>
      <c r="Q115" s="40" t="s">
        <v>11</v>
      </c>
      <c r="R115" s="7"/>
    </row>
    <row r="116" spans="1:31" s="6" customFormat="1" ht="39.950000000000003" customHeight="1" x14ac:dyDescent="0.25">
      <c r="A116" s="4"/>
      <c r="B116" s="1433" t="s">
        <v>135</v>
      </c>
      <c r="C116" s="1434"/>
      <c r="D116" s="1013"/>
      <c r="E116" s="139" t="e">
        <f>H59</f>
        <v>#N/A</v>
      </c>
      <c r="F116" s="39" t="s">
        <v>4</v>
      </c>
      <c r="G116" s="1137">
        <f>SQRT(B46)</f>
        <v>1.7320508075688772</v>
      </c>
      <c r="H116" s="118" t="e">
        <f>E116/G116</f>
        <v>#N/A</v>
      </c>
      <c r="I116" s="39" t="s">
        <v>4</v>
      </c>
      <c r="J116" s="55">
        <v>1</v>
      </c>
      <c r="K116" s="39"/>
      <c r="L116" s="38" t="e">
        <f>H116*J116</f>
        <v>#N/A</v>
      </c>
      <c r="M116" s="39" t="s">
        <v>4</v>
      </c>
      <c r="N116" s="118" t="e">
        <f>L116^2</f>
        <v>#N/A</v>
      </c>
      <c r="O116" s="39" t="s">
        <v>6</v>
      </c>
      <c r="P116" s="39" t="s">
        <v>122</v>
      </c>
      <c r="Q116" s="40">
        <f>B46-1</f>
        <v>2</v>
      </c>
      <c r="S116" s="2"/>
      <c r="T116" s="2"/>
      <c r="U116" s="2"/>
    </row>
    <row r="117" spans="1:31" s="9" customFormat="1" ht="30" customHeight="1" thickBot="1" x14ac:dyDescent="0.3">
      <c r="A117" s="67" t="s">
        <v>136</v>
      </c>
      <c r="B117" s="1435" t="s">
        <v>137</v>
      </c>
      <c r="C117" s="1436"/>
      <c r="D117" s="1014"/>
      <c r="E117" s="1073" t="e">
        <f>O66/10000</f>
        <v>#N/A</v>
      </c>
      <c r="F117" s="41" t="s">
        <v>4</v>
      </c>
      <c r="G117" s="1073">
        <f>SQRT(3)</f>
        <v>1.7320508075688772</v>
      </c>
      <c r="H117" s="42" t="e">
        <f>E117/G117</f>
        <v>#N/A</v>
      </c>
      <c r="I117" s="41" t="s">
        <v>4</v>
      </c>
      <c r="J117" s="42">
        <v>1</v>
      </c>
      <c r="K117" s="41"/>
      <c r="L117" s="42" t="e">
        <f>H117*J117</f>
        <v>#N/A</v>
      </c>
      <c r="M117" s="41" t="s">
        <v>4</v>
      </c>
      <c r="N117" s="167" t="e">
        <f>L117^2</f>
        <v>#N/A</v>
      </c>
      <c r="O117" s="41" t="s">
        <v>138</v>
      </c>
      <c r="P117" s="41" t="s">
        <v>5</v>
      </c>
      <c r="Q117" s="43" t="s">
        <v>11</v>
      </c>
      <c r="R117" s="50"/>
      <c r="S117" s="2"/>
      <c r="T117" s="2"/>
      <c r="U117" s="2"/>
    </row>
    <row r="118" spans="1:31" s="9" customFormat="1" ht="45.75" customHeight="1" thickBot="1" x14ac:dyDescent="0.3">
      <c r="A118" s="10"/>
      <c r="L118" s="1015"/>
      <c r="M118" s="1016"/>
      <c r="N118" s="303" t="e">
        <f>SQRT(SUM(N89:N90,N93:N95,N98:N101,N103:N106,N108:N110,N111,N114,N115,N116,N117,))</f>
        <v>#N/A</v>
      </c>
      <c r="R118" s="50"/>
      <c r="S118" s="2"/>
      <c r="T118" s="2"/>
      <c r="U118" s="2"/>
      <c r="V118" s="49"/>
      <c r="W118" s="49"/>
    </row>
    <row r="119" spans="1:31" s="9" customFormat="1" ht="41.25" customHeight="1" thickBot="1" x14ac:dyDescent="0.3">
      <c r="A119" s="10"/>
      <c r="B119" s="1417" t="s">
        <v>140</v>
      </c>
      <c r="C119" s="1418"/>
      <c r="D119" s="1418"/>
      <c r="E119" s="1418"/>
      <c r="F119" s="1418"/>
      <c r="G119" s="1418"/>
      <c r="H119" s="1418"/>
      <c r="I119" s="1418"/>
      <c r="J119" s="1419"/>
      <c r="K119" s="10"/>
      <c r="L119" s="1420" t="s">
        <v>139</v>
      </c>
      <c r="M119" s="1421"/>
      <c r="N119" s="1138" t="e">
        <f>E121*N118</f>
        <v>#N/A</v>
      </c>
      <c r="O119" s="10"/>
      <c r="P119" s="10"/>
      <c r="R119" s="50"/>
      <c r="S119" s="2"/>
      <c r="T119" s="2"/>
      <c r="U119" s="2"/>
      <c r="V119" s="49"/>
      <c r="W119" s="49"/>
    </row>
    <row r="120" spans="1:31" s="2" customFormat="1" ht="34.5" customHeight="1" thickBot="1" x14ac:dyDescent="0.3">
      <c r="A120" s="7"/>
      <c r="B120" s="1058"/>
      <c r="C120" s="1059" t="s">
        <v>141</v>
      </c>
      <c r="D120" s="290" t="s">
        <v>142</v>
      </c>
      <c r="E120" s="290" t="s">
        <v>113</v>
      </c>
      <c r="F120" s="290" t="s">
        <v>7</v>
      </c>
      <c r="G120" s="290" t="s">
        <v>370</v>
      </c>
      <c r="H120" s="290" t="s">
        <v>8</v>
      </c>
      <c r="I120" s="290" t="s">
        <v>143</v>
      </c>
      <c r="J120" s="291" t="s">
        <v>144</v>
      </c>
      <c r="K120" s="51"/>
      <c r="L120" s="1422" t="s">
        <v>17</v>
      </c>
      <c r="M120" s="1423"/>
      <c r="N120" s="302" t="e">
        <f>(N118^4)/((L89^4/Q89)+(L99^4/Q99)+(L104^4/Q104)+(L93^4/Q93)+(L116^4/Q116))</f>
        <v>#N/A</v>
      </c>
      <c r="O120" s="10"/>
    </row>
    <row r="121" spans="1:31" s="2" customFormat="1" ht="30" customHeight="1" thickBot="1" x14ac:dyDescent="0.3">
      <c r="A121" s="7"/>
      <c r="B121" s="1050" t="s">
        <v>4</v>
      </c>
      <c r="C121" s="1141" t="e">
        <f>H58</f>
        <v>#N/A</v>
      </c>
      <c r="D121" s="1053" t="e">
        <f>N118</f>
        <v>#N/A</v>
      </c>
      <c r="E121" s="1437">
        <v>2</v>
      </c>
      <c r="F121" s="687" t="e">
        <f>(D121*E121)</f>
        <v>#N/A</v>
      </c>
      <c r="G121" s="1440">
        <v>95</v>
      </c>
      <c r="H121" s="685" t="e">
        <f>C121-C7</f>
        <v>#N/A</v>
      </c>
      <c r="I121" s="410" t="e">
        <f>ABS(H121)</f>
        <v>#N/A</v>
      </c>
      <c r="J121" s="433" t="e">
        <f>F121*I121</f>
        <v>#N/A</v>
      </c>
      <c r="K121" s="52"/>
      <c r="O121" s="7"/>
    </row>
    <row r="122" spans="1:31" s="2" customFormat="1" ht="30" customHeight="1" thickBot="1" x14ac:dyDescent="0.3">
      <c r="A122" s="7"/>
      <c r="B122" s="1051" t="s">
        <v>423</v>
      </c>
      <c r="C122" s="1141" t="e">
        <f>C121/L30</f>
        <v>#N/A</v>
      </c>
      <c r="D122" s="1054" t="e">
        <f>D121/L30</f>
        <v>#N/A</v>
      </c>
      <c r="E122" s="1438"/>
      <c r="F122" s="424" t="e">
        <f>D122*E121</f>
        <v>#N/A</v>
      </c>
      <c r="G122" s="1441"/>
      <c r="H122" s="292" t="e">
        <f>H121/L30</f>
        <v>#N/A</v>
      </c>
      <c r="I122" s="308" t="e">
        <f>ABS(H122)</f>
        <v>#N/A</v>
      </c>
      <c r="J122" s="309" t="e">
        <f>F122*I122</f>
        <v>#N/A</v>
      </c>
      <c r="K122" s="7"/>
      <c r="M122" s="1424" t="s">
        <v>113</v>
      </c>
      <c r="N122" s="1425"/>
      <c r="O122" s="7"/>
      <c r="P122" s="710">
        <v>0.3</v>
      </c>
      <c r="Q122" s="710">
        <v>1.65</v>
      </c>
    </row>
    <row r="123" spans="1:31" s="10" customFormat="1" ht="36.75" customHeight="1" thickBot="1" x14ac:dyDescent="0.3">
      <c r="B123" s="1051" t="s">
        <v>9</v>
      </c>
      <c r="C123" s="1055" t="e">
        <f>C122/L27</f>
        <v>#N/A</v>
      </c>
      <c r="D123" s="1056" t="e">
        <f>D122/L27</f>
        <v>#N/A</v>
      </c>
      <c r="E123" s="1438"/>
      <c r="F123" s="688" t="e">
        <f>D123*E121</f>
        <v>#N/A</v>
      </c>
      <c r="G123" s="1441"/>
      <c r="H123" s="686" t="e">
        <f>H122/L27</f>
        <v>#N/A</v>
      </c>
      <c r="I123" s="683" t="e">
        <f>ABS(H123)</f>
        <v>#N/A</v>
      </c>
      <c r="J123" s="684" t="e">
        <f>F123*I123</f>
        <v>#N/A</v>
      </c>
      <c r="M123" s="708" t="e">
        <f>_xlfn.T.INV.2T(0.05,N120)</f>
        <v>#N/A</v>
      </c>
      <c r="N123" s="709" t="e">
        <f>TINV(0.05,N120)</f>
        <v>#N/A</v>
      </c>
      <c r="P123" s="1443" t="s">
        <v>429</v>
      </c>
      <c r="Q123" s="1444"/>
      <c r="R123" s="1445"/>
      <c r="S123" s="2"/>
      <c r="T123" s="2"/>
      <c r="U123" s="2"/>
      <c r="V123" s="53"/>
      <c r="W123" s="53"/>
      <c r="X123" s="53"/>
      <c r="Y123" s="53"/>
      <c r="Z123" s="53"/>
      <c r="AA123" s="53"/>
    </row>
    <row r="124" spans="1:31" s="2" customFormat="1" ht="42" customHeight="1" thickBot="1" x14ac:dyDescent="0.3">
      <c r="A124" s="7"/>
      <c r="B124" s="1052" t="s">
        <v>336</v>
      </c>
      <c r="C124" s="1057" t="e">
        <f>(C121*100)/C7</f>
        <v>#N/A</v>
      </c>
      <c r="D124" s="689" t="e">
        <f>(D123/M27)</f>
        <v>#N/A</v>
      </c>
      <c r="E124" s="1439"/>
      <c r="F124" s="691" t="e">
        <f>(D124*E121)</f>
        <v>#N/A</v>
      </c>
      <c r="G124" s="1442"/>
      <c r="H124" s="690" t="e">
        <f>(H123*100)/M27</f>
        <v>#N/A</v>
      </c>
      <c r="I124" s="411" t="e">
        <f>(I123*100)/M27</f>
        <v>#N/A</v>
      </c>
      <c r="J124" s="689" t="e">
        <f>(J123*100)/M27</f>
        <v>#N/A</v>
      </c>
      <c r="K124" s="7"/>
      <c r="L124" s="7"/>
      <c r="M124" s="904" t="s">
        <v>418</v>
      </c>
      <c r="N124" s="905" t="e">
        <f>MAX(N89:N111,N114:N117)</f>
        <v>#N/A</v>
      </c>
      <c r="O124" s="906" t="e">
        <f>IF((N125)&lt;=(P122),"1,65","k=2")</f>
        <v>#N/A</v>
      </c>
      <c r="P124" s="908" t="s">
        <v>424</v>
      </c>
      <c r="Q124" s="909" t="s">
        <v>425</v>
      </c>
      <c r="R124" s="910" t="s">
        <v>426</v>
      </c>
      <c r="V124" s="1560"/>
      <c r="W124" s="1560"/>
      <c r="X124" s="1560"/>
      <c r="Y124" s="9"/>
      <c r="Z124" s="9"/>
      <c r="AA124" s="9"/>
      <c r="AB124" s="9"/>
      <c r="AC124" s="9"/>
      <c r="AD124" s="9"/>
      <c r="AE124" s="9"/>
    </row>
    <row r="125" spans="1:31" s="2" customFormat="1" ht="30" customHeight="1" thickBot="1" x14ac:dyDescent="0.3">
      <c r="C125" s="306"/>
      <c r="D125" s="307"/>
      <c r="E125" s="305"/>
      <c r="K125" s="10"/>
      <c r="L125" s="10"/>
      <c r="M125" s="906" t="s">
        <v>428</v>
      </c>
      <c r="N125" s="907" t="e">
        <f>(SQRT(SUM(N90,N93:N95,N98:N101,N103:N106,N108:N110,N111,N114,N115,N116,N117,)))/N124</f>
        <v>#N/A</v>
      </c>
      <c r="O125" s="176"/>
      <c r="P125" s="911" t="s">
        <v>424</v>
      </c>
      <c r="Q125" s="912" t="s">
        <v>430</v>
      </c>
      <c r="R125" s="913" t="s">
        <v>427</v>
      </c>
      <c r="V125" s="1559"/>
      <c r="W125" s="1559"/>
      <c r="X125" s="1559"/>
    </row>
  </sheetData>
  <sheetProtection password="CF7A" sheet="1" objects="1" scenarios="1"/>
  <mergeCells count="139">
    <mergeCell ref="B32:C32"/>
    <mergeCell ref="B33:C33"/>
    <mergeCell ref="B34:C34"/>
    <mergeCell ref="B35:C35"/>
    <mergeCell ref="B36:C36"/>
    <mergeCell ref="B37:C37"/>
    <mergeCell ref="V125:X125"/>
    <mergeCell ref="V124:X124"/>
    <mergeCell ref="A5:R5"/>
    <mergeCell ref="Q6:R6"/>
    <mergeCell ref="A8:A12"/>
    <mergeCell ref="A13:A17"/>
    <mergeCell ref="B19:B20"/>
    <mergeCell ref="C19:C20"/>
    <mergeCell ref="D19:D20"/>
    <mergeCell ref="E19:E20"/>
    <mergeCell ref="F19:F20"/>
    <mergeCell ref="G19:G20"/>
    <mergeCell ref="O19:O20"/>
    <mergeCell ref="P19:P20"/>
    <mergeCell ref="S19:S20"/>
    <mergeCell ref="B24:G24"/>
    <mergeCell ref="I24:R24"/>
    <mergeCell ref="D26:E26"/>
    <mergeCell ref="B26:C26"/>
    <mergeCell ref="B27:C27"/>
    <mergeCell ref="B28:C28"/>
    <mergeCell ref="B29:C29"/>
    <mergeCell ref="B30:C30"/>
    <mergeCell ref="B31:C31"/>
    <mergeCell ref="D27:E27"/>
    <mergeCell ref="D28:E28"/>
    <mergeCell ref="F26:G26"/>
    <mergeCell ref="F27:G27"/>
    <mergeCell ref="F28:G28"/>
    <mergeCell ref="H19:H20"/>
    <mergeCell ref="I19:I20"/>
    <mergeCell ref="J19:J20"/>
    <mergeCell ref="K19:K20"/>
    <mergeCell ref="D25:E25"/>
    <mergeCell ref="F25:G25"/>
    <mergeCell ref="L19:L20"/>
    <mergeCell ref="A1:B1"/>
    <mergeCell ref="D1:R1"/>
    <mergeCell ref="D3:E3"/>
    <mergeCell ref="G3:H3"/>
    <mergeCell ref="J3:K3"/>
    <mergeCell ref="M3:N3"/>
    <mergeCell ref="P3:R3"/>
    <mergeCell ref="N19:N20"/>
    <mergeCell ref="M19:M20"/>
    <mergeCell ref="Q41:Y41"/>
    <mergeCell ref="I35:P35"/>
    <mergeCell ref="I36:K36"/>
    <mergeCell ref="L36:N36"/>
    <mergeCell ref="I37:J37"/>
    <mergeCell ref="L37:M37"/>
    <mergeCell ref="I38:J38"/>
    <mergeCell ref="L38:M38"/>
    <mergeCell ref="O25:O26"/>
    <mergeCell ref="P25:P26"/>
    <mergeCell ref="Q25:Q26"/>
    <mergeCell ref="R25:R26"/>
    <mergeCell ref="I33:J33"/>
    <mergeCell ref="K33:L33"/>
    <mergeCell ref="N33:O33"/>
    <mergeCell ref="P33:Q33"/>
    <mergeCell ref="I25:I26"/>
    <mergeCell ref="J25:J26"/>
    <mergeCell ref="K25:K26"/>
    <mergeCell ref="L25:L26"/>
    <mergeCell ref="M25:M26"/>
    <mergeCell ref="B42:G42"/>
    <mergeCell ref="I42:N42"/>
    <mergeCell ref="E53:L53"/>
    <mergeCell ref="E54:F54"/>
    <mergeCell ref="B39:C39"/>
    <mergeCell ref="D39:G39"/>
    <mergeCell ref="I39:J39"/>
    <mergeCell ref="L39:M39"/>
    <mergeCell ref="B41:N41"/>
    <mergeCell ref="B47:F47"/>
    <mergeCell ref="I47:M47"/>
    <mergeCell ref="E59:G59"/>
    <mergeCell ref="E60:G60"/>
    <mergeCell ref="B64:L64"/>
    <mergeCell ref="B66:D66"/>
    <mergeCell ref="B68:E68"/>
    <mergeCell ref="B70:E70"/>
    <mergeCell ref="O54:O55"/>
    <mergeCell ref="E55:F55"/>
    <mergeCell ref="E56:F56"/>
    <mergeCell ref="O56:O57"/>
    <mergeCell ref="E57:F57"/>
    <mergeCell ref="E58:G58"/>
    <mergeCell ref="A90:A91"/>
    <mergeCell ref="B90:C90"/>
    <mergeCell ref="B91:C91"/>
    <mergeCell ref="B72:F72"/>
    <mergeCell ref="B74:F74"/>
    <mergeCell ref="B76:F76"/>
    <mergeCell ref="B78:D78"/>
    <mergeCell ref="B80:D80"/>
    <mergeCell ref="B82:D82"/>
    <mergeCell ref="B92:C92"/>
    <mergeCell ref="B93:C93"/>
    <mergeCell ref="B94:C94"/>
    <mergeCell ref="B95:C95"/>
    <mergeCell ref="B97:C97"/>
    <mergeCell ref="B98:C98"/>
    <mergeCell ref="B86:Q86"/>
    <mergeCell ref="B87:C87"/>
    <mergeCell ref="B88:C88"/>
    <mergeCell ref="B89:C89"/>
    <mergeCell ref="B105:C105"/>
    <mergeCell ref="B106:C106"/>
    <mergeCell ref="B107:C107"/>
    <mergeCell ref="B108:C108"/>
    <mergeCell ref="B109:C109"/>
    <mergeCell ref="B110:C110"/>
    <mergeCell ref="B99:C99"/>
    <mergeCell ref="B100:C100"/>
    <mergeCell ref="B101:C101"/>
    <mergeCell ref="B102:C102"/>
    <mergeCell ref="B103:C103"/>
    <mergeCell ref="B104:C104"/>
    <mergeCell ref="B119:J119"/>
    <mergeCell ref="L119:M119"/>
    <mergeCell ref="L120:M120"/>
    <mergeCell ref="M122:N122"/>
    <mergeCell ref="B111:C111"/>
    <mergeCell ref="B113:Q113"/>
    <mergeCell ref="B114:C114"/>
    <mergeCell ref="B115:C115"/>
    <mergeCell ref="B116:C116"/>
    <mergeCell ref="B117:C117"/>
    <mergeCell ref="E121:E124"/>
    <mergeCell ref="G121:G124"/>
    <mergeCell ref="P123:R123"/>
  </mergeCells>
  <pageMargins left="0.70866141732283472" right="0.70866141732283472" top="0.74803149606299213" bottom="0.74803149606299213" header="0.31496062992125984" footer="0.31496062992125984"/>
  <pageSetup scale="26" orientation="portrait" horizontalDpi="4294967293" r:id="rId1"/>
  <headerFooter>
    <oddFooter>&amp;RRT03-F11 Vr.6 (2019-11-07)</oddFooter>
  </headerFooter>
  <rowBreaks count="1" manualBreakCount="1">
    <brk id="60" max="24" man="1"/>
  </rowBreaks>
  <ignoredErrors>
    <ignoredError sqref="G116" formula="1"/>
  </ignoredErrors>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DATOS°!$A$39:$A$40</xm:f>
          </x14:formula1>
          <xm:sqref>O43</xm:sqref>
        </x14:dataValidation>
        <x14:dataValidation type="list" allowBlank="1" showInputMessage="1" showErrorMessage="1">
          <x14:formula1>
            <xm:f>DATOS°!$A$45:$A$46</xm:f>
          </x14:formula1>
          <xm:sqref>A43</xm:sqref>
        </x14:dataValidation>
        <x14:dataValidation type="list" allowBlank="1" showInputMessage="1" showErrorMessage="1">
          <x14:formula1>
            <xm:f>DATOS°!$C$43:$C$48</xm:f>
          </x14:formula1>
          <xm:sqref>S8:S12</xm:sqref>
        </x14:dataValidation>
        <x14:dataValidation type="list" allowBlank="1" showInputMessage="1" showErrorMessage="1">
          <x14:formula1>
            <xm:f>DATOS°!$C$37:$C$42</xm:f>
          </x14:formula1>
          <xm:sqref>S13:S17</xm:sqref>
        </x14:dataValidation>
        <x14:dataValidation type="list" allowBlank="1" showInputMessage="1" showErrorMessage="1">
          <x14:formula1>
            <xm:f>DATOS°!$P$9:$P$13</xm:f>
          </x14:formula1>
          <xm:sqref>H39</xm:sqref>
        </x14:dataValidation>
        <x14:dataValidation type="list" allowBlank="1" showInputMessage="1" showErrorMessage="1">
          <x14:formula1>
            <xm:f>DATOS°!$B$162:$B$167</xm:f>
          </x14:formula1>
          <xm:sqref>Q36</xm:sqref>
        </x14:dataValidation>
        <x14:dataValidation type="list" allowBlank="1" showInputMessage="1" showErrorMessage="1">
          <x14:formula1>
            <xm:f>DATOS°!$B$14:$B$16</xm:f>
          </x14:formula1>
          <xm:sqref>H26</xm:sqref>
        </x14:dataValidation>
        <x14:dataValidation type="list" allowBlank="1" showInputMessage="1" showErrorMessage="1">
          <x14:formula1>
            <xm:f>DATOS°!$D$7:$D$9</xm:f>
          </x14:formula1>
          <xm:sqref>S3</xm:sqref>
        </x14:dataValidation>
        <x14:dataValidation type="list" allowBlank="1" showInputMessage="1" showErrorMessage="1">
          <x14:formula1>
            <xm:f>DATOS°!$B$24:$B$26</xm:f>
          </x14:formula1>
          <xm:sqref>A26</xm:sqref>
        </x14:dataValidation>
        <x14:dataValidation type="list" allowBlank="1" showInputMessage="1" showErrorMessage="1">
          <x14:formula1>
            <xm:f>DATOS°!$C$137:$C$152</xm:f>
          </x14:formula1>
          <xm:sqref>S22</xm:sqref>
        </x14:dataValidation>
        <x14:dataValidation type="list" allowBlank="1" showInputMessage="1" showErrorMessage="1">
          <x14:formula1>
            <xm:f>DATOS°!$C$131:$C$132</xm:f>
          </x14:formula1>
          <xm:sqref>S21</xm:sqref>
        </x14:dataValidation>
        <x14:dataValidation type="list" allowBlank="1" showInputMessage="1" showErrorMessage="1">
          <x14:formula1>
            <xm:f>DATOS°!$C$121:$C$127</xm:f>
          </x14:formula1>
          <xm:sqref>S19:S20</xm:sqref>
        </x14:dataValidation>
        <x14:dataValidation type="list" allowBlank="1" showInputMessage="1" showErrorMessage="1">
          <x14:formula1>
            <xm:f>DATOS°!$C$112:$C$117</xm:f>
          </x14:formula1>
          <xm:sqref>S18</xm:sqref>
        </x14:dataValidation>
        <x14:dataValidation type="list" allowBlank="1" showInputMessage="1" showErrorMessage="1">
          <x14:formula1>
            <xm:f>DATOS°!$C$30:$C$32</xm:f>
          </x14:formula1>
          <xm:sqref>S7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L125"/>
  <sheetViews>
    <sheetView showGridLines="0" view="pageBreakPreview" topLeftCell="A64" zoomScale="70" zoomScaleNormal="40" zoomScaleSheetLayoutView="70" workbookViewId="0">
      <selection activeCell="O47" sqref="O47"/>
    </sheetView>
  </sheetViews>
  <sheetFormatPr baseColWidth="10" defaultRowHeight="14.25" x14ac:dyDescent="0.2"/>
  <cols>
    <col min="1" max="1" width="20.7109375" style="54" customWidth="1"/>
    <col min="2" max="2" width="18" style="54" customWidth="1"/>
    <col min="3" max="3" width="14.5703125" style="54" customWidth="1"/>
    <col min="4" max="4" width="15.28515625" style="54" customWidth="1"/>
    <col min="5" max="5" width="14.28515625" style="54" customWidth="1"/>
    <col min="6" max="6" width="11.5703125" style="54" customWidth="1"/>
    <col min="7" max="7" width="13.140625" style="54" customWidth="1"/>
    <col min="8" max="8" width="12.7109375" style="54" customWidth="1"/>
    <col min="9" max="9" width="13.85546875" style="54" customWidth="1"/>
    <col min="10" max="12" width="12.7109375" style="54" customWidth="1"/>
    <col min="13" max="13" width="17.140625" style="54" customWidth="1"/>
    <col min="14" max="14" width="13.7109375" style="54" customWidth="1"/>
    <col min="15" max="15" width="21" style="54" customWidth="1"/>
    <col min="16" max="16" width="13" style="54" customWidth="1"/>
    <col min="17" max="17" width="13.5703125" style="54" customWidth="1"/>
    <col min="18" max="18" width="11.5703125" style="54" customWidth="1"/>
    <col min="19" max="24" width="11.42578125" style="54"/>
    <col min="25" max="25" width="11.7109375" style="54" customWidth="1"/>
    <col min="26" max="16384" width="11.42578125" style="54"/>
  </cols>
  <sheetData>
    <row r="1" spans="1:19" s="2" customFormat="1" ht="75" customHeight="1" thickBot="1" x14ac:dyDescent="0.3">
      <c r="A1" s="1536"/>
      <c r="B1" s="1537"/>
      <c r="C1" s="1"/>
      <c r="D1" s="1538" t="s">
        <v>382</v>
      </c>
      <c r="E1" s="1539"/>
      <c r="F1" s="1539"/>
      <c r="G1" s="1539"/>
      <c r="H1" s="1539"/>
      <c r="I1" s="1539"/>
      <c r="J1" s="1539"/>
      <c r="K1" s="1539"/>
      <c r="L1" s="1539"/>
      <c r="M1" s="1539"/>
      <c r="N1" s="1539"/>
      <c r="O1" s="1539"/>
      <c r="P1" s="1539"/>
      <c r="Q1" s="1539"/>
      <c r="R1" s="1540"/>
      <c r="S1" s="721"/>
    </row>
    <row r="2" spans="1:19" s="6" customFormat="1" ht="5.0999999999999996" customHeight="1" thickBot="1" x14ac:dyDescent="0.3">
      <c r="A2" s="3"/>
      <c r="B2" s="3"/>
      <c r="C2" s="4"/>
      <c r="D2" s="5"/>
      <c r="E2" s="5"/>
      <c r="F2" s="5"/>
      <c r="G2" s="5"/>
      <c r="H2" s="5"/>
      <c r="I2" s="5"/>
      <c r="J2" s="5"/>
      <c r="K2" s="5"/>
      <c r="L2" s="5"/>
      <c r="M2" s="5"/>
      <c r="N2" s="5"/>
      <c r="O2" s="5"/>
      <c r="P2" s="5"/>
      <c r="Q2" s="5"/>
      <c r="R2" s="5"/>
    </row>
    <row r="3" spans="1:19" s="7" customFormat="1" ht="30" customHeight="1" thickBot="1" x14ac:dyDescent="0.3">
      <c r="A3" s="61" t="s">
        <v>53</v>
      </c>
      <c r="B3" s="882" t="e">
        <f>VLOOKUP($S3,DATOS°!$D$7:$N$19,2,FALSE)</f>
        <v>#N/A</v>
      </c>
      <c r="C3" s="62" t="s">
        <v>198</v>
      </c>
      <c r="D3" s="1541" t="e">
        <f>VLOOKUP($S$3,DATOS°!$D$7:$N$19,3,FALSE)</f>
        <v>#N/A</v>
      </c>
      <c r="E3" s="1542"/>
      <c r="F3" s="63" t="s">
        <v>380</v>
      </c>
      <c r="G3" s="1543" t="e">
        <f>VLOOKUP($S$3,DATOS°!$D$7:$N$19,7,FALSE)</f>
        <v>#N/A</v>
      </c>
      <c r="H3" s="1543"/>
      <c r="I3" s="63" t="s">
        <v>199</v>
      </c>
      <c r="J3" s="1543" t="e">
        <f>VLOOKUP($S$3,DATOS°!$D$7:$N$19,4,FALSE)</f>
        <v>#N/A</v>
      </c>
      <c r="K3" s="1543"/>
      <c r="L3" s="63" t="s">
        <v>30</v>
      </c>
      <c r="M3" s="1543" t="e">
        <f>VLOOKUP($S$3,DATOS°!$D$7:$N$19,6,FALSE)</f>
        <v>#N/A</v>
      </c>
      <c r="N3" s="1543"/>
      <c r="O3" s="63" t="s">
        <v>200</v>
      </c>
      <c r="P3" s="1543" t="e">
        <f>VLOOKUP($S$3,DATOS°!$D$7:$N$19,11,FALSE)</f>
        <v>#N/A</v>
      </c>
      <c r="Q3" s="1543"/>
      <c r="R3" s="1544"/>
      <c r="S3" s="148"/>
    </row>
    <row r="4" spans="1:19" s="7" customFormat="1" ht="5.0999999999999996" customHeight="1" thickBot="1" x14ac:dyDescent="0.3"/>
    <row r="5" spans="1:19" s="7" customFormat="1" ht="30" customHeight="1" thickBot="1" x14ac:dyDescent="0.3">
      <c r="A5" s="1561" t="s">
        <v>67</v>
      </c>
      <c r="B5" s="1562"/>
      <c r="C5" s="1562"/>
      <c r="D5" s="1562"/>
      <c r="E5" s="1562"/>
      <c r="F5" s="1562"/>
      <c r="G5" s="1562"/>
      <c r="H5" s="1562"/>
      <c r="I5" s="1562"/>
      <c r="J5" s="1562"/>
      <c r="K5" s="1562"/>
      <c r="L5" s="1562"/>
      <c r="M5" s="1562"/>
      <c r="N5" s="1562"/>
      <c r="O5" s="1562"/>
      <c r="P5" s="1562"/>
      <c r="Q5" s="1562"/>
      <c r="R5" s="1563"/>
    </row>
    <row r="6" spans="1:19" s="2" customFormat="1" ht="50.1" customHeight="1" thickBot="1" x14ac:dyDescent="0.3">
      <c r="A6" s="984" t="s">
        <v>14</v>
      </c>
      <c r="B6" s="979" t="s">
        <v>187</v>
      </c>
      <c r="C6" s="150" t="s">
        <v>189</v>
      </c>
      <c r="D6" s="150" t="s">
        <v>68</v>
      </c>
      <c r="E6" s="150" t="s">
        <v>186</v>
      </c>
      <c r="F6" s="150" t="s">
        <v>68</v>
      </c>
      <c r="G6" s="150" t="s">
        <v>188</v>
      </c>
      <c r="H6" s="150" t="s">
        <v>68</v>
      </c>
      <c r="I6" s="150" t="s">
        <v>184</v>
      </c>
      <c r="J6" s="150" t="s">
        <v>68</v>
      </c>
      <c r="K6" s="151" t="s">
        <v>69</v>
      </c>
      <c r="L6" s="150" t="s">
        <v>68</v>
      </c>
      <c r="M6" s="150" t="s">
        <v>381</v>
      </c>
      <c r="N6" s="150" t="s">
        <v>68</v>
      </c>
      <c r="O6" s="150" t="s">
        <v>190</v>
      </c>
      <c r="P6" s="150" t="s">
        <v>185</v>
      </c>
      <c r="Q6" s="1564" t="s">
        <v>207</v>
      </c>
      <c r="R6" s="1565"/>
    </row>
    <row r="7" spans="1:19" s="2" customFormat="1" ht="29.25" customHeight="1" thickBot="1" x14ac:dyDescent="0.3">
      <c r="A7" s="985" t="s">
        <v>1</v>
      </c>
      <c r="B7" s="980" t="e">
        <f>VLOOKUP(S7,DATOS°!C31:K33,3,FALSE)</f>
        <v>#N/A</v>
      </c>
      <c r="C7" s="81" t="e">
        <f>VLOOKUP(S7,DATOS°!C31:K33,4,FALSE)</f>
        <v>#N/A</v>
      </c>
      <c r="D7" s="82" t="s">
        <v>4</v>
      </c>
      <c r="E7" s="83" t="e">
        <f>VLOOKUP(S7,DATOS°!C31:K33,5,FALSE)</f>
        <v>#N/A</v>
      </c>
      <c r="F7" s="82" t="s">
        <v>4</v>
      </c>
      <c r="G7" s="81" t="e">
        <f>VLOOKUP(S7,DATOS°!C31:K33,6,FALSE)</f>
        <v>#N/A</v>
      </c>
      <c r="H7" s="82" t="s">
        <v>70</v>
      </c>
      <c r="I7" s="1066" t="e">
        <f>VLOOKUP(S7,DATOS°!C31:K33,7,FALSE)</f>
        <v>#N/A</v>
      </c>
      <c r="J7" s="82" t="s">
        <v>4</v>
      </c>
      <c r="K7" s="1113" t="e">
        <f>SQRT((I7*0.5))^2+(((DATOS°!T30*0.5)+(I7*0.5))/2)^2/SQRT(12)</f>
        <v>#N/A</v>
      </c>
      <c r="L7" s="82" t="s">
        <v>4</v>
      </c>
      <c r="M7" s="918" t="e">
        <f t="shared" ref="M7:M22" si="0">SQRT((I7/2)^2+(K7)^2)</f>
        <v>#N/A</v>
      </c>
      <c r="N7" s="82" t="s">
        <v>4</v>
      </c>
      <c r="O7" s="83" t="e">
        <f>VLOOKUP(S7,DATOS°!C31:K33,8,FALSE)</f>
        <v>#N/A</v>
      </c>
      <c r="P7" s="88" t="e">
        <f>VLOOKUP(S7,DATOS°!C31:K33,9,FALSE)</f>
        <v>#N/A</v>
      </c>
      <c r="Q7" s="84"/>
      <c r="R7" s="152"/>
      <c r="S7" s="172"/>
    </row>
    <row r="8" spans="1:19" s="2" customFormat="1" ht="30" customHeight="1" x14ac:dyDescent="0.25">
      <c r="A8" s="1566" t="s">
        <v>71</v>
      </c>
      <c r="B8" s="981" t="e">
        <f>VLOOKUP(S8,DATOS°!$C$39:$K$48,3,FALSE)</f>
        <v>#N/A</v>
      </c>
      <c r="C8" s="85" t="e">
        <f>VLOOKUP(S8,DATOS°!$C$37:$K$50,4,FALSE)</f>
        <v>#N/A</v>
      </c>
      <c r="D8" s="663" t="s">
        <v>3</v>
      </c>
      <c r="E8" s="85" t="e">
        <f>VLOOKUP(S8,DATOS°!$C$37:$K$50,5,FALSE)</f>
        <v>#N/A</v>
      </c>
      <c r="F8" s="86" t="s">
        <v>3</v>
      </c>
      <c r="G8" s="85" t="e">
        <f>VLOOKUP(S8,DATOS°!$C$37:$K$50,6,FALSE)</f>
        <v>#N/A</v>
      </c>
      <c r="H8" s="86" t="s">
        <v>3</v>
      </c>
      <c r="I8" s="85" t="e">
        <f>VLOOKUP(S8,DATOS°!$C$37:$K$50,7,FALSE)</f>
        <v>#N/A</v>
      </c>
      <c r="J8" s="86" t="s">
        <v>3</v>
      </c>
      <c r="K8" s="915" t="e">
        <f t="shared" ref="K8:K17" si="1">(I8/2)/SQRT(12)</f>
        <v>#N/A</v>
      </c>
      <c r="L8" s="86" t="s">
        <v>3</v>
      </c>
      <c r="M8" s="918" t="e">
        <f t="shared" si="0"/>
        <v>#N/A</v>
      </c>
      <c r="N8" s="86" t="s">
        <v>3</v>
      </c>
      <c r="O8" s="87" t="e">
        <f>VLOOKUP(S8,DATOS°!$C$37:$K$50,8,FALSE)</f>
        <v>#N/A</v>
      </c>
      <c r="P8" s="88" t="e">
        <f>VLOOKUP(S8,DATOS°!$C$37:$K$50,9,FALSE)</f>
        <v>#N/A</v>
      </c>
      <c r="Q8" s="8"/>
      <c r="R8" s="153"/>
      <c r="S8" s="509"/>
    </row>
    <row r="9" spans="1:19" s="2" customFormat="1" ht="30" customHeight="1" x14ac:dyDescent="0.25">
      <c r="A9" s="1567"/>
      <c r="B9" s="981" t="e">
        <f>VLOOKUP(S9,DATOS°!$C$39:$K$48,3,FALSE)</f>
        <v>#N/A</v>
      </c>
      <c r="C9" s="85" t="e">
        <f>VLOOKUP(S9,DATOS°!$C$37:$K$50,4,FALSE)</f>
        <v>#N/A</v>
      </c>
      <c r="D9" s="663" t="s">
        <v>3</v>
      </c>
      <c r="E9" s="85" t="e">
        <f>VLOOKUP(S9,DATOS°!$C$37:$K$50,5,FALSE)</f>
        <v>#N/A</v>
      </c>
      <c r="F9" s="86" t="s">
        <v>3</v>
      </c>
      <c r="G9" s="85" t="e">
        <f>VLOOKUP(S9,DATOS°!$C$37:$K$50,6,FALSE)</f>
        <v>#N/A</v>
      </c>
      <c r="H9" s="86" t="s">
        <v>3</v>
      </c>
      <c r="I9" s="85" t="e">
        <f>VLOOKUP(S9,DATOS°!$C$37:$K$50,7,FALSE)</f>
        <v>#N/A</v>
      </c>
      <c r="J9" s="86" t="s">
        <v>3</v>
      </c>
      <c r="K9" s="915" t="e">
        <f t="shared" si="1"/>
        <v>#N/A</v>
      </c>
      <c r="L9" s="86" t="s">
        <v>3</v>
      </c>
      <c r="M9" s="918" t="e">
        <f t="shared" si="0"/>
        <v>#N/A</v>
      </c>
      <c r="N9" s="86" t="s">
        <v>3</v>
      </c>
      <c r="O9" s="87" t="e">
        <f>VLOOKUP(S9,DATOS°!$C$37:$K$50,8,FALSE)</f>
        <v>#N/A</v>
      </c>
      <c r="P9" s="88" t="e">
        <f>VLOOKUP(S9,DATOS°!$C$37:$K$50,9,FALSE)</f>
        <v>#N/A</v>
      </c>
      <c r="Q9" s="89"/>
      <c r="R9" s="722"/>
      <c r="S9" s="285"/>
    </row>
    <row r="10" spans="1:19" s="2" customFormat="1" ht="30" customHeight="1" x14ac:dyDescent="0.25">
      <c r="A10" s="1567"/>
      <c r="B10" s="981" t="e">
        <f>VLOOKUP(S10,DATOS°!$C$39:$K$48,3,FALSE)</f>
        <v>#N/A</v>
      </c>
      <c r="C10" s="85" t="e">
        <f>VLOOKUP(S10,DATOS°!$C$37:$K$50,4,FALSE)</f>
        <v>#N/A</v>
      </c>
      <c r="D10" s="663" t="s">
        <v>3</v>
      </c>
      <c r="E10" s="85" t="e">
        <f>VLOOKUP(S10,DATOS°!$C$37:$K$50,5,FALSE)</f>
        <v>#N/A</v>
      </c>
      <c r="F10" s="86" t="s">
        <v>255</v>
      </c>
      <c r="G10" s="85" t="e">
        <f>VLOOKUP(S10,DATOS°!$C$37:$K$50,6,FALSE)</f>
        <v>#N/A</v>
      </c>
      <c r="H10" s="86" t="s">
        <v>3</v>
      </c>
      <c r="I10" s="914" t="e">
        <f>VLOOKUP(S10,DATOS°!$C$37:$K$50,7,FALSE)</f>
        <v>#N/A</v>
      </c>
      <c r="J10" s="86" t="s">
        <v>3</v>
      </c>
      <c r="K10" s="915" t="e">
        <f t="shared" si="1"/>
        <v>#N/A</v>
      </c>
      <c r="L10" s="86" t="s">
        <v>3</v>
      </c>
      <c r="M10" s="918" t="e">
        <f t="shared" si="0"/>
        <v>#N/A</v>
      </c>
      <c r="N10" s="86" t="s">
        <v>3</v>
      </c>
      <c r="O10" s="87" t="e">
        <f>VLOOKUP(S10,DATOS°!$C$37:$K$50,8,FALSE)</f>
        <v>#N/A</v>
      </c>
      <c r="P10" s="88" t="e">
        <f>VLOOKUP(S10,DATOS°!$C$37:$K$50,9,FALSE)</f>
        <v>#N/A</v>
      </c>
      <c r="Q10" s="89"/>
      <c r="R10" s="153"/>
      <c r="S10" s="285"/>
    </row>
    <row r="11" spans="1:19" s="6" customFormat="1" ht="30" customHeight="1" x14ac:dyDescent="0.25">
      <c r="A11" s="1567"/>
      <c r="B11" s="981" t="e">
        <f>VLOOKUP(S11,DATOS°!$C$37:$K$50,3,FALSE)</f>
        <v>#N/A</v>
      </c>
      <c r="C11" s="85" t="e">
        <f>VLOOKUP(S11,DATOS°!$C$37:$K$50,4,FALSE)</f>
        <v>#N/A</v>
      </c>
      <c r="D11" s="663" t="s">
        <v>3</v>
      </c>
      <c r="E11" s="85" t="e">
        <f>VLOOKUP(S11,DATOS°!$C$37:$K$50,5,FALSE)</f>
        <v>#N/A</v>
      </c>
      <c r="F11" s="86" t="s">
        <v>255</v>
      </c>
      <c r="G11" s="85" t="e">
        <f>VLOOKUP(S11,DATOS°!$C$37:$K$50,6,FALSE)</f>
        <v>#N/A</v>
      </c>
      <c r="H11" s="86" t="s">
        <v>3</v>
      </c>
      <c r="I11" s="85" t="e">
        <f>VLOOKUP(S11,DATOS°!$C$37:$K$50,7,FALSE)</f>
        <v>#N/A</v>
      </c>
      <c r="J11" s="86" t="s">
        <v>3</v>
      </c>
      <c r="K11" s="915" t="e">
        <f t="shared" si="1"/>
        <v>#N/A</v>
      </c>
      <c r="L11" s="86" t="s">
        <v>3</v>
      </c>
      <c r="M11" s="918" t="e">
        <f t="shared" si="0"/>
        <v>#N/A</v>
      </c>
      <c r="N11" s="86" t="s">
        <v>3</v>
      </c>
      <c r="O11" s="87" t="e">
        <f>VLOOKUP(S11,DATOS°!$C$37:$K$50,8,FALSE)</f>
        <v>#N/A</v>
      </c>
      <c r="P11" s="88" t="e">
        <f>VLOOKUP(S11,DATOS°!$C$37:$K$50,9,FALSE)</f>
        <v>#N/A</v>
      </c>
      <c r="Q11" s="89"/>
      <c r="R11" s="977"/>
      <c r="S11" s="285"/>
    </row>
    <row r="12" spans="1:19" s="6" customFormat="1" ht="30" customHeight="1" thickBot="1" x14ac:dyDescent="0.3">
      <c r="A12" s="1568"/>
      <c r="B12" s="981" t="e">
        <f>VLOOKUP(S12,DATOS°!$C$37:$K$50,3,FALSE)</f>
        <v>#N/A</v>
      </c>
      <c r="C12" s="85" t="e">
        <f>VLOOKUP(S12,DATOS°!$C$37:$K$50,4,FALSE)</f>
        <v>#N/A</v>
      </c>
      <c r="D12" s="663" t="s">
        <v>3</v>
      </c>
      <c r="E12" s="85" t="e">
        <f>VLOOKUP(S12,DATOS°!$C$37:$K$50,5,FALSE)</f>
        <v>#N/A</v>
      </c>
      <c r="F12" s="86" t="s">
        <v>255</v>
      </c>
      <c r="G12" s="85" t="e">
        <f>VLOOKUP(S12,DATOS°!$C$37:$K$50,6,FALSE)</f>
        <v>#N/A</v>
      </c>
      <c r="H12" s="86" t="s">
        <v>3</v>
      </c>
      <c r="I12" s="85" t="e">
        <f>VLOOKUP(S12,DATOS°!$C$37:$K$50,7,FALSE)</f>
        <v>#N/A</v>
      </c>
      <c r="J12" s="86" t="s">
        <v>3</v>
      </c>
      <c r="K12" s="915" t="e">
        <f t="shared" si="1"/>
        <v>#N/A</v>
      </c>
      <c r="L12" s="86" t="s">
        <v>3</v>
      </c>
      <c r="M12" s="918" t="e">
        <f t="shared" si="0"/>
        <v>#N/A</v>
      </c>
      <c r="N12" s="86" t="s">
        <v>3</v>
      </c>
      <c r="O12" s="87" t="e">
        <f>VLOOKUP(S12,DATOS°!$C$37:$K$50,8,FALSE)</f>
        <v>#N/A</v>
      </c>
      <c r="P12" s="88" t="e">
        <f>VLOOKUP(S12,DATOS°!$C$37:$K$50,9,FALSE)</f>
        <v>#N/A</v>
      </c>
      <c r="Q12" s="89"/>
      <c r="R12" s="977"/>
      <c r="S12" s="510"/>
    </row>
    <row r="13" spans="1:19" s="6" customFormat="1" ht="30" customHeight="1" x14ac:dyDescent="0.25">
      <c r="A13" s="1566" t="s">
        <v>72</v>
      </c>
      <c r="B13" s="981" t="e">
        <f>VLOOKUP(S13,DATOS°!$C$37:$K$50,3,FALSE)</f>
        <v>#N/A</v>
      </c>
      <c r="C13" s="85" t="e">
        <f>VLOOKUP(S13,DATOS°!$C$37:$K$50,4,FALSE)</f>
        <v>#N/A</v>
      </c>
      <c r="D13" s="663" t="s">
        <v>3</v>
      </c>
      <c r="E13" s="85" t="e">
        <f>VLOOKUP(S13,DATOS°!$C$37:$K$50,5,FALSE)</f>
        <v>#N/A</v>
      </c>
      <c r="F13" s="86" t="s">
        <v>3</v>
      </c>
      <c r="G13" s="85" t="e">
        <f>VLOOKUP(S13,DATOS°!$C$37:$K$50,6,FALSE)</f>
        <v>#N/A</v>
      </c>
      <c r="H13" s="86" t="s">
        <v>3</v>
      </c>
      <c r="I13" s="85" t="e">
        <f>VLOOKUP(S13,DATOS°!$C$37:$K$50,7,FALSE)</f>
        <v>#N/A</v>
      </c>
      <c r="J13" s="86" t="s">
        <v>3</v>
      </c>
      <c r="K13" s="915" t="e">
        <f t="shared" si="1"/>
        <v>#N/A</v>
      </c>
      <c r="L13" s="86" t="s">
        <v>3</v>
      </c>
      <c r="M13" s="918" t="e">
        <f t="shared" si="0"/>
        <v>#N/A</v>
      </c>
      <c r="N13" s="86" t="s">
        <v>3</v>
      </c>
      <c r="O13" s="87" t="e">
        <f>VLOOKUP(S13,DATOS°!$C$37:$K$50,8,FALSE)</f>
        <v>#N/A</v>
      </c>
      <c r="P13" s="88" t="e">
        <f>VLOOKUP(S13,DATOS°!$C$37:$K$50,9,FALSE)</f>
        <v>#N/A</v>
      </c>
      <c r="Q13" s="89"/>
      <c r="R13" s="153"/>
      <c r="S13" s="509"/>
    </row>
    <row r="14" spans="1:19" s="6" customFormat="1" ht="30" customHeight="1" x14ac:dyDescent="0.25">
      <c r="A14" s="1567"/>
      <c r="B14" s="981" t="e">
        <f>VLOOKUP(S14,DATOS°!$C$39:$K$48,3,FALSE)</f>
        <v>#N/A</v>
      </c>
      <c r="C14" s="85" t="e">
        <f>VLOOKUP(S14,DATOS°!$C$37:$K$50,4,FALSE)</f>
        <v>#N/A</v>
      </c>
      <c r="D14" s="663" t="s">
        <v>3</v>
      </c>
      <c r="E14" s="85" t="e">
        <f>VLOOKUP(S14,DATOS°!$C$37:$K$50,5,FALSE)</f>
        <v>#N/A</v>
      </c>
      <c r="F14" s="86" t="s">
        <v>3</v>
      </c>
      <c r="G14" s="85" t="e">
        <f>VLOOKUP(S14,DATOS°!$C$37:$K$50,6,FALSE)</f>
        <v>#N/A</v>
      </c>
      <c r="H14" s="86" t="s">
        <v>3</v>
      </c>
      <c r="I14" s="85" t="e">
        <f>VLOOKUP(S14,DATOS°!$C$37:$K$50,7,FALSE)</f>
        <v>#N/A</v>
      </c>
      <c r="J14" s="86" t="s">
        <v>3</v>
      </c>
      <c r="K14" s="915" t="e">
        <f t="shared" si="1"/>
        <v>#N/A</v>
      </c>
      <c r="L14" s="86" t="s">
        <v>3</v>
      </c>
      <c r="M14" s="918" t="e">
        <f t="shared" si="0"/>
        <v>#N/A</v>
      </c>
      <c r="N14" s="86" t="s">
        <v>3</v>
      </c>
      <c r="O14" s="87" t="e">
        <f>VLOOKUP(S14,DATOS°!$C$37:$K$50,8,FALSE)</f>
        <v>#N/A</v>
      </c>
      <c r="P14" s="88" t="e">
        <f>VLOOKUP(S14,DATOS°!$C$37:$K$50,9,FALSE)</f>
        <v>#N/A</v>
      </c>
      <c r="Q14" s="89"/>
      <c r="R14" s="153"/>
      <c r="S14" s="285"/>
    </row>
    <row r="15" spans="1:19" s="6" customFormat="1" ht="30" customHeight="1" x14ac:dyDescent="0.25">
      <c r="A15" s="1567"/>
      <c r="B15" s="981" t="e">
        <f>VLOOKUP(S15,DATOS°!$C$39:$K$48,3,FALSE)</f>
        <v>#N/A</v>
      </c>
      <c r="C15" s="85" t="e">
        <f>VLOOKUP(S15,DATOS°!$C$37:$K$50,4,FALSE)</f>
        <v>#N/A</v>
      </c>
      <c r="D15" s="663" t="s">
        <v>3</v>
      </c>
      <c r="E15" s="85" t="e">
        <f>VLOOKUP(S15,DATOS°!$C$37:$K$50,5,FALSE)</f>
        <v>#N/A</v>
      </c>
      <c r="F15" s="86" t="s">
        <v>3</v>
      </c>
      <c r="G15" s="85" t="e">
        <f>VLOOKUP(S15,DATOS°!$C$37:$K$50,6,FALSE)</f>
        <v>#N/A</v>
      </c>
      <c r="H15" s="86" t="s">
        <v>3</v>
      </c>
      <c r="I15" s="85" t="e">
        <f>VLOOKUP(S15,DATOS°!$C$37:$K$50,7,FALSE)</f>
        <v>#N/A</v>
      </c>
      <c r="J15" s="86" t="s">
        <v>3</v>
      </c>
      <c r="K15" s="915" t="e">
        <f t="shared" si="1"/>
        <v>#N/A</v>
      </c>
      <c r="L15" s="86" t="s">
        <v>3</v>
      </c>
      <c r="M15" s="918" t="e">
        <f t="shared" si="0"/>
        <v>#N/A</v>
      </c>
      <c r="N15" s="86" t="s">
        <v>3</v>
      </c>
      <c r="O15" s="87" t="e">
        <f>VLOOKUP(S15,DATOS°!$C$37:$K$50,8,FALSE)</f>
        <v>#N/A</v>
      </c>
      <c r="P15" s="88" t="e">
        <f>VLOOKUP(S15,DATOS°!$C$37:$K$50,9,FALSE)</f>
        <v>#N/A</v>
      </c>
      <c r="Q15" s="89"/>
      <c r="R15" s="153"/>
      <c r="S15" s="285"/>
    </row>
    <row r="16" spans="1:19" s="6" customFormat="1" ht="30" customHeight="1" x14ac:dyDescent="0.25">
      <c r="A16" s="1567"/>
      <c r="B16" s="981" t="e">
        <f>VLOOKUP(S16,DATOS°!$C$37:$K$50,3,FALSE)</f>
        <v>#N/A</v>
      </c>
      <c r="C16" s="85" t="e">
        <f>VLOOKUP(S16,DATOS°!$C$37:$K$50,4,FALSE)</f>
        <v>#N/A</v>
      </c>
      <c r="D16" s="663" t="s">
        <v>3</v>
      </c>
      <c r="E16" s="85" t="e">
        <f>VLOOKUP(S16,DATOS°!$C$37:$K$50,5,FALSE)</f>
        <v>#N/A</v>
      </c>
      <c r="F16" s="86" t="s">
        <v>3</v>
      </c>
      <c r="G16" s="85" t="e">
        <f>VLOOKUP(S16,DATOS°!$C$37:$K$50,6,FALSE)</f>
        <v>#N/A</v>
      </c>
      <c r="H16" s="86" t="s">
        <v>3</v>
      </c>
      <c r="I16" s="887" t="e">
        <f>VLOOKUP(S16,DATOS°!$C$37:$K$50,7,FALSE)</f>
        <v>#N/A</v>
      </c>
      <c r="J16" s="86" t="s">
        <v>3</v>
      </c>
      <c r="K16" s="915" t="e">
        <f t="shared" si="1"/>
        <v>#N/A</v>
      </c>
      <c r="L16" s="86" t="s">
        <v>3</v>
      </c>
      <c r="M16" s="918" t="e">
        <f t="shared" si="0"/>
        <v>#N/A</v>
      </c>
      <c r="N16" s="86" t="s">
        <v>3</v>
      </c>
      <c r="O16" s="87" t="e">
        <f>VLOOKUP(S16,DATOS°!$C$37:$K$50,8,FALSE)</f>
        <v>#N/A</v>
      </c>
      <c r="P16" s="88" t="e">
        <f>VLOOKUP(S16,DATOS°!$C$37:$K$50,9,FALSE)</f>
        <v>#N/A</v>
      </c>
      <c r="Q16" s="89"/>
      <c r="R16" s="977"/>
      <c r="S16" s="285"/>
    </row>
    <row r="17" spans="1:20" s="6" customFormat="1" ht="30" customHeight="1" thickBot="1" x14ac:dyDescent="0.3">
      <c r="A17" s="1568"/>
      <c r="B17" s="981" t="e">
        <f>VLOOKUP(S17,DATOS°!$C$37:$K$50,3,FALSE)</f>
        <v>#N/A</v>
      </c>
      <c r="C17" s="85" t="e">
        <f>VLOOKUP(S17,DATOS°!$C$37:$K$50,4,FALSE)</f>
        <v>#N/A</v>
      </c>
      <c r="D17" s="663" t="s">
        <v>3</v>
      </c>
      <c r="E17" s="85" t="e">
        <f>VLOOKUP(S17,DATOS°!$C$37:$K$50,5,FALSE)</f>
        <v>#N/A</v>
      </c>
      <c r="F17" s="86" t="s">
        <v>3</v>
      </c>
      <c r="G17" s="85" t="e">
        <f>VLOOKUP(S17,DATOS°!$C$37:$K$50,6,FALSE)</f>
        <v>#N/A</v>
      </c>
      <c r="H17" s="86" t="s">
        <v>3</v>
      </c>
      <c r="I17" s="887" t="e">
        <f>VLOOKUP(S17,DATOS°!$C$37:$K$50,7,FALSE)</f>
        <v>#N/A</v>
      </c>
      <c r="J17" s="86" t="s">
        <v>3</v>
      </c>
      <c r="K17" s="915" t="e">
        <f t="shared" si="1"/>
        <v>#N/A</v>
      </c>
      <c r="L17" s="86" t="s">
        <v>3</v>
      </c>
      <c r="M17" s="918" t="e">
        <f t="shared" si="0"/>
        <v>#N/A</v>
      </c>
      <c r="N17" s="86" t="s">
        <v>3</v>
      </c>
      <c r="O17" s="87" t="e">
        <f>VLOOKUP(S17,DATOS°!$C$37:$K$50,8,FALSE)</f>
        <v>#N/A</v>
      </c>
      <c r="P17" s="88" t="e">
        <f>VLOOKUP(S17,DATOS°!$C$37:$K$50,9,FALSE)</f>
        <v>#N/A</v>
      </c>
      <c r="Q17" s="89"/>
      <c r="R17" s="977"/>
      <c r="S17" s="510"/>
    </row>
    <row r="18" spans="1:20" s="6" customFormat="1" ht="30" customHeight="1" thickBot="1" x14ac:dyDescent="0.3">
      <c r="A18" s="986" t="s">
        <v>194</v>
      </c>
      <c r="B18" s="982" t="e">
        <f>VLOOKUP(S18,DATOS°!$C$112:$K$117,3,FALSE)</f>
        <v>#N/A</v>
      </c>
      <c r="C18" s="887" t="e">
        <f>VLOOKUP(S18,DATOS°!$C$112:$K$117,4,FALSE)</f>
        <v>#N/A</v>
      </c>
      <c r="D18" s="663" t="s">
        <v>4</v>
      </c>
      <c r="E18" s="887" t="e">
        <f>VLOOKUP(S18,DATOS°!$C$112:$K$117,5,FALSE)</f>
        <v>#N/A</v>
      </c>
      <c r="F18" s="663" t="s">
        <v>4</v>
      </c>
      <c r="G18" s="887" t="e">
        <f>VLOOKUP(S18,DATOS°!$C$112:$K$117,6,FALSE)</f>
        <v>#N/A</v>
      </c>
      <c r="H18" s="663" t="s">
        <v>4</v>
      </c>
      <c r="I18" s="887" t="e">
        <f>VLOOKUP(S18,DATOS°!$C$112:$K$117,7,FALSE)</f>
        <v>#N/A</v>
      </c>
      <c r="J18" s="155" t="s">
        <v>4</v>
      </c>
      <c r="K18" s="915" t="e">
        <f>(I18/2)/SQRT(12)</f>
        <v>#N/A</v>
      </c>
      <c r="L18" s="663" t="s">
        <v>4</v>
      </c>
      <c r="M18" s="918" t="e">
        <f t="shared" si="0"/>
        <v>#N/A</v>
      </c>
      <c r="N18" s="663" t="s">
        <v>4</v>
      </c>
      <c r="O18" s="87" t="e">
        <f>VLOOKUP(S18,DATOS°!$C$112:$K$117,8,FALSE)</f>
        <v>#N/A</v>
      </c>
      <c r="P18" s="88" t="e">
        <f>VLOOKUP(S18,DATOS°!$C$112:$K$117,9,FALSE)</f>
        <v>#N/A</v>
      </c>
      <c r="Q18" s="656" t="s">
        <v>397</v>
      </c>
      <c r="R18" s="657" t="s">
        <v>398</v>
      </c>
      <c r="S18" s="515"/>
    </row>
    <row r="19" spans="1:20" s="9" customFormat="1" ht="30" customHeight="1" x14ac:dyDescent="0.25">
      <c r="A19" s="986" t="s">
        <v>195</v>
      </c>
      <c r="B19" s="1569" t="e">
        <f>VLOOKUP(S19,DATOS°!$C$121:$K$127,3,FALSE)</f>
        <v>#N/A</v>
      </c>
      <c r="C19" s="1580" t="e">
        <f>VLOOKUP(S19,DATOS°!$C$121:$K$127,4,FALSE)</f>
        <v>#N/A</v>
      </c>
      <c r="D19" s="1525" t="s">
        <v>4</v>
      </c>
      <c r="E19" s="1527" t="e">
        <f>VLOOKUP(S19,DATOS°!$C$121:$K$127,5,FALSE)</f>
        <v>#N/A</v>
      </c>
      <c r="F19" s="1525" t="s">
        <v>4</v>
      </c>
      <c r="G19" s="1571" t="e">
        <f>VLOOKUP(S19,DATOS°!$C$121:$K$127,6,FALSE)</f>
        <v>#N/A</v>
      </c>
      <c r="H19" s="1525" t="s">
        <v>4</v>
      </c>
      <c r="I19" s="1527" t="e">
        <f>VLOOKUP(S19,DATOS°!$C$121:$K$127,7,FALSE)</f>
        <v>#N/A</v>
      </c>
      <c r="J19" s="1525" t="s">
        <v>4</v>
      </c>
      <c r="K19" s="1529" t="e">
        <f t="shared" ref="K19:K22" si="2">(I19/2)/SQRT(12)</f>
        <v>#N/A</v>
      </c>
      <c r="L19" s="1534" t="s">
        <v>4</v>
      </c>
      <c r="M19" s="1545" t="e">
        <f t="shared" si="0"/>
        <v>#N/A</v>
      </c>
      <c r="N19" s="1534" t="s">
        <v>4</v>
      </c>
      <c r="O19" s="1527" t="e">
        <f>VLOOKUP(S19,DATOS°!$C$121:$K$127,8,FALSE)</f>
        <v>#N/A</v>
      </c>
      <c r="P19" s="1573" t="e">
        <f>VLOOKUP(S19,DATOS°!$C$121:$K$127,9,FALSE)</f>
        <v>#N/A</v>
      </c>
      <c r="Q19" s="658" t="e">
        <f>VLOOKUP(S19,DATOS°!$C$121:$R$128,13,FALSE)</f>
        <v>#N/A</v>
      </c>
      <c r="R19" s="659" t="e">
        <f>VLOOKUP(S19,DATOS°!$C$121:$R$128,15,FALSE)</f>
        <v>#N/A</v>
      </c>
      <c r="S19" s="1575"/>
    </row>
    <row r="20" spans="1:20" s="2" customFormat="1" ht="30" customHeight="1" thickBot="1" x14ac:dyDescent="0.3">
      <c r="A20" s="987"/>
      <c r="B20" s="1570"/>
      <c r="C20" s="1581"/>
      <c r="D20" s="1526"/>
      <c r="E20" s="1528"/>
      <c r="F20" s="1526"/>
      <c r="G20" s="1572"/>
      <c r="H20" s="1526"/>
      <c r="I20" s="1528"/>
      <c r="J20" s="1526"/>
      <c r="K20" s="1529"/>
      <c r="L20" s="1535"/>
      <c r="M20" s="1546"/>
      <c r="N20" s="1535"/>
      <c r="O20" s="1528"/>
      <c r="P20" s="1574"/>
      <c r="Q20" s="660" t="e">
        <f>VLOOKUP(S19,DATOS°!$C$121:$R$128,14,FALSE)</f>
        <v>#N/A</v>
      </c>
      <c r="R20" s="634" t="e">
        <f>VLOOKUP(S19,DATOS°!$C$121:$R$128,16,FALSE)</f>
        <v>#N/A</v>
      </c>
      <c r="S20" s="1576"/>
    </row>
    <row r="21" spans="1:20" s="10" customFormat="1" ht="27.75" customHeight="1" thickBot="1" x14ac:dyDescent="0.3">
      <c r="A21" s="988" t="s">
        <v>468</v>
      </c>
      <c r="B21" s="982" t="e">
        <f>VLOOKUP(S21,DATOS°!$C$131:$K$132,3,FALSE)</f>
        <v>#N/A</v>
      </c>
      <c r="C21" s="87" t="e">
        <f>VLOOKUP(S21,DATOS°!$C$131:$K$132,4,FALSE)</f>
        <v>#N/A</v>
      </c>
      <c r="D21" s="663" t="s">
        <v>192</v>
      </c>
      <c r="E21" s="921" t="e">
        <f>VLOOKUP(S21,DATOS°!$C$131:$K$132,5,FALSE)</f>
        <v>#N/A</v>
      </c>
      <c r="F21" s="663" t="s">
        <v>192</v>
      </c>
      <c r="G21" s="924" t="e">
        <f>VLOOKUP(S21,DATOS°!$C$131:$K$132,6,FALSE)</f>
        <v>#N/A</v>
      </c>
      <c r="H21" s="663" t="s">
        <v>192</v>
      </c>
      <c r="I21" s="924" t="e">
        <f>VLOOKUP(S21,DATOS°!$C$131:$K$132,7,FALSE)</f>
        <v>#N/A</v>
      </c>
      <c r="J21" s="155" t="s">
        <v>192</v>
      </c>
      <c r="K21" s="916" t="e">
        <f t="shared" si="2"/>
        <v>#N/A</v>
      </c>
      <c r="L21" s="663" t="s">
        <v>192</v>
      </c>
      <c r="M21" s="918" t="e">
        <f t="shared" si="0"/>
        <v>#N/A</v>
      </c>
      <c r="N21" s="662" t="s">
        <v>192</v>
      </c>
      <c r="O21" s="919" t="e">
        <f>VLOOKUP(S21,DATOS°!$C$131:$K$132,8,FALSE)</f>
        <v>#N/A</v>
      </c>
      <c r="P21" s="88" t="e">
        <f>VLOOKUP(S21,DATOS°!$C$131:$K$132,9,FALSE)</f>
        <v>#N/A</v>
      </c>
      <c r="Q21" s="90"/>
      <c r="R21" s="154"/>
      <c r="S21" s="172"/>
    </row>
    <row r="22" spans="1:20" s="2" customFormat="1" ht="30" customHeight="1" thickBot="1" x14ac:dyDescent="0.3">
      <c r="A22" s="989" t="s">
        <v>73</v>
      </c>
      <c r="B22" s="983" t="e">
        <f>VLOOKUP(S22,DATOS°!$C$137:$K$152,3,FALSE)</f>
        <v>#N/A</v>
      </c>
      <c r="C22" s="91" t="e">
        <f>VLOOKUP(S22,DATOS°!$C$137:$K$152,4,FALSE)</f>
        <v>#N/A</v>
      </c>
      <c r="D22" s="92" t="s">
        <v>170</v>
      </c>
      <c r="E22" s="888" t="e">
        <f>VLOOKUP(S22,DATOS°!$C$137:$K$152,5,FALSE)</f>
        <v>#N/A</v>
      </c>
      <c r="F22" s="92" t="s">
        <v>170</v>
      </c>
      <c r="G22" s="922" t="e">
        <f>VLOOKUP(S22,DATOS°!$C$137:$K$152,6,FALSE)</f>
        <v>#N/A</v>
      </c>
      <c r="H22" s="92" t="s">
        <v>170</v>
      </c>
      <c r="I22" s="920" t="e">
        <f>VLOOKUP(S22,DATOS°!$C$137:$K$152,7,FALSE)</f>
        <v>#N/A</v>
      </c>
      <c r="J22" s="92" t="s">
        <v>170</v>
      </c>
      <c r="K22" s="917" t="e">
        <f t="shared" si="2"/>
        <v>#N/A</v>
      </c>
      <c r="L22" s="92" t="s">
        <v>170</v>
      </c>
      <c r="M22" s="978" t="e">
        <f t="shared" si="0"/>
        <v>#N/A</v>
      </c>
      <c r="N22" s="92" t="s">
        <v>170</v>
      </c>
      <c r="O22" s="91" t="e">
        <f>VLOOKUP(S22,DATOS°!$C$137:$K$152,8,FALSE)</f>
        <v>#N/A</v>
      </c>
      <c r="P22" s="94" t="e">
        <f>VLOOKUP(S22,DATOS°!$C$137:$K$152,9,FALSE)</f>
        <v>#N/A</v>
      </c>
      <c r="Q22" s="95"/>
      <c r="R22" s="156"/>
      <c r="S22" s="510"/>
    </row>
    <row r="23" spans="1:20" s="2" customFormat="1" ht="30" customHeight="1" thickBot="1" x14ac:dyDescent="0.3"/>
    <row r="24" spans="1:20" s="2" customFormat="1" ht="30" customHeight="1" thickBot="1" x14ac:dyDescent="0.3">
      <c r="A24" s="7"/>
      <c r="B24" s="1498" t="s">
        <v>74</v>
      </c>
      <c r="C24" s="1499"/>
      <c r="D24" s="1499"/>
      <c r="E24" s="1499"/>
      <c r="F24" s="1499"/>
      <c r="G24" s="1577"/>
      <c r="H24" s="10"/>
      <c r="I24" s="1498" t="s">
        <v>422</v>
      </c>
      <c r="J24" s="1499"/>
      <c r="K24" s="1499"/>
      <c r="L24" s="1499"/>
      <c r="M24" s="1499"/>
      <c r="N24" s="1499"/>
      <c r="O24" s="1499"/>
      <c r="P24" s="1499"/>
      <c r="Q24" s="1499"/>
      <c r="R24" s="1577"/>
    </row>
    <row r="25" spans="1:20" s="2" customFormat="1" ht="30" customHeight="1" thickBot="1" x14ac:dyDescent="0.3">
      <c r="A25" s="7"/>
      <c r="B25" s="680" t="s">
        <v>75</v>
      </c>
      <c r="C25" s="881"/>
      <c r="D25" s="1530" t="s">
        <v>1</v>
      </c>
      <c r="E25" s="1531"/>
      <c r="F25" s="1532" t="s">
        <v>0</v>
      </c>
      <c r="G25" s="1533"/>
      <c r="H25" s="10"/>
      <c r="I25" s="1519" t="s">
        <v>68</v>
      </c>
      <c r="J25" s="1521" t="s">
        <v>49</v>
      </c>
      <c r="K25" s="1521" t="s">
        <v>50</v>
      </c>
      <c r="L25" s="1521" t="s">
        <v>174</v>
      </c>
      <c r="M25" s="1523" t="s">
        <v>76</v>
      </c>
      <c r="N25" s="10"/>
      <c r="O25" s="1508" t="s">
        <v>77</v>
      </c>
      <c r="P25" s="1508" t="s">
        <v>78</v>
      </c>
      <c r="Q25" s="1508" t="s">
        <v>79</v>
      </c>
      <c r="R25" s="1510" t="s">
        <v>378</v>
      </c>
    </row>
    <row r="26" spans="1:20" s="2" customFormat="1" ht="30" customHeight="1" thickBot="1" x14ac:dyDescent="0.3">
      <c r="A26" s="148"/>
      <c r="B26" s="1547" t="s">
        <v>44</v>
      </c>
      <c r="C26" s="1548"/>
      <c r="D26" s="1578" t="e">
        <f>VLOOKUP($A$26,DATOS°!$B$24:$M$26,2,FALSE)</f>
        <v>#N/A</v>
      </c>
      <c r="E26" s="1579"/>
      <c r="F26" s="1551" t="e">
        <f>VLOOKUP($H$26,DATOS°!$B$14:$N$16,2,FALSE)</f>
        <v>#N/A</v>
      </c>
      <c r="G26" s="1552"/>
      <c r="H26" s="148"/>
      <c r="I26" s="1520"/>
      <c r="J26" s="1522"/>
      <c r="K26" s="1522"/>
      <c r="L26" s="1522"/>
      <c r="M26" s="1524"/>
      <c r="N26" s="10"/>
      <c r="O26" s="1509"/>
      <c r="P26" s="1509"/>
      <c r="Q26" s="1509"/>
      <c r="R26" s="1511"/>
    </row>
    <row r="27" spans="1:20" s="2" customFormat="1" ht="30" customHeight="1" thickBot="1" x14ac:dyDescent="0.3">
      <c r="A27" s="7"/>
      <c r="B27" s="1547" t="s">
        <v>45</v>
      </c>
      <c r="C27" s="1548"/>
      <c r="D27" s="1549" t="e">
        <f>VLOOKUP($A$26,DATOS°!$B$24:$M$26,3,FALSE)</f>
        <v>#N/A</v>
      </c>
      <c r="E27" s="1550"/>
      <c r="F27" s="1555" t="e">
        <f>VLOOKUP($H$26,DATOS°!$B$14:$N$16,3,FALSE)</f>
        <v>#N/A</v>
      </c>
      <c r="G27" s="1556"/>
      <c r="H27" s="10"/>
      <c r="I27" s="885" t="s">
        <v>82</v>
      </c>
      <c r="J27" s="12">
        <v>3.7854109999999999</v>
      </c>
      <c r="K27" s="12">
        <v>3785.4110000000001</v>
      </c>
      <c r="L27" s="12">
        <v>231.00000854332629</v>
      </c>
      <c r="M27" s="17">
        <v>5</v>
      </c>
      <c r="N27" s="11"/>
      <c r="O27" s="445" t="e">
        <f>O30/K27</f>
        <v>#N/A</v>
      </c>
      <c r="P27" s="1107" t="e">
        <f>P30/K27</f>
        <v>#N/A</v>
      </c>
      <c r="Q27" s="446" t="e">
        <f>P27-O27</f>
        <v>#N/A</v>
      </c>
      <c r="R27" s="661" t="e">
        <f>ABS(Q27)</f>
        <v>#N/A</v>
      </c>
    </row>
    <row r="28" spans="1:20" s="2" customFormat="1" ht="30" customHeight="1" thickBot="1" x14ac:dyDescent="0.3">
      <c r="A28" s="7"/>
      <c r="B28" s="1547" t="s">
        <v>28</v>
      </c>
      <c r="C28" s="1548"/>
      <c r="D28" s="1549" t="e">
        <f>VLOOKUP($A$26,DATOS°!$B$24:$M$26,4,FALSE)</f>
        <v>#N/A</v>
      </c>
      <c r="E28" s="1550"/>
      <c r="F28" s="1555" t="e">
        <f>VLOOKUP($H$26,DATOS°!$B$14:$N$16,4,FALSE)</f>
        <v>#N/A</v>
      </c>
      <c r="G28" s="1556"/>
      <c r="H28" s="10"/>
      <c r="I28" s="885" t="s">
        <v>175</v>
      </c>
      <c r="J28" s="12">
        <v>1.6387059999999998E-2</v>
      </c>
      <c r="K28" s="12">
        <v>16.387059999999998</v>
      </c>
      <c r="L28" s="12">
        <v>1</v>
      </c>
      <c r="M28" s="17">
        <v>1155.0000427166315</v>
      </c>
      <c r="N28" s="10"/>
      <c r="O28" s="57" t="e">
        <f>O30/K28</f>
        <v>#N/A</v>
      </c>
      <c r="P28" s="1108" t="e">
        <f>(P30*L28)/K28</f>
        <v>#N/A</v>
      </c>
      <c r="Q28" s="97" t="e">
        <f>P28-O28</f>
        <v>#N/A</v>
      </c>
      <c r="R28" s="654" t="e">
        <f t="shared" ref="R28:R29" si="3">ABS(Q28)</f>
        <v>#N/A</v>
      </c>
    </row>
    <row r="29" spans="1:20" s="2" customFormat="1" ht="30" customHeight="1" thickBot="1" x14ac:dyDescent="0.3">
      <c r="A29" s="7"/>
      <c r="B29" s="1547" t="s">
        <v>85</v>
      </c>
      <c r="C29" s="1548"/>
      <c r="D29" s="883" t="e">
        <f>VLOOKUP($A$26,DATOS°!$B$24:$M$26,5,FALSE)</f>
        <v>#N/A</v>
      </c>
      <c r="E29" s="662" t="s">
        <v>3</v>
      </c>
      <c r="F29" s="662" t="e">
        <f>VLOOKUP($H$26,DATOS°!$B$14:$N$16,5,FALSE)</f>
        <v>#N/A</v>
      </c>
      <c r="G29" s="96" t="s">
        <v>3</v>
      </c>
      <c r="H29" s="10"/>
      <c r="I29" s="885" t="s">
        <v>25</v>
      </c>
      <c r="J29" s="12">
        <v>1</v>
      </c>
      <c r="K29" s="12">
        <v>1000</v>
      </c>
      <c r="L29" s="12">
        <v>1.6387059999999998E-2</v>
      </c>
      <c r="M29" s="17">
        <v>18.927054999999999</v>
      </c>
      <c r="N29" s="10"/>
      <c r="O29" s="64" t="e">
        <f>O30/K29</f>
        <v>#N/A</v>
      </c>
      <c r="P29" s="1108" t="e">
        <f>(P30*J29)/K29</f>
        <v>#N/A</v>
      </c>
      <c r="Q29" s="97" t="e">
        <f>P29-O29</f>
        <v>#N/A</v>
      </c>
      <c r="R29" s="654" t="e">
        <f t="shared" si="3"/>
        <v>#N/A</v>
      </c>
    </row>
    <row r="30" spans="1:20" s="2" customFormat="1" ht="30" customHeight="1" thickBot="1" x14ac:dyDescent="0.3">
      <c r="A30" s="7"/>
      <c r="B30" s="1547" t="s">
        <v>48</v>
      </c>
      <c r="C30" s="1548"/>
      <c r="D30" s="883" t="e">
        <f>VLOOKUP($A$26,DATOS°!$B$24:$M$26,6,FALSE)</f>
        <v>#N/A</v>
      </c>
      <c r="E30" s="662" t="s">
        <v>9</v>
      </c>
      <c r="F30" s="662" t="e">
        <f>VLOOKUP($H$26,DATOS°!$B$14:$N$16,6,FALSE)</f>
        <v>#N/A</v>
      </c>
      <c r="G30" s="96" t="s">
        <v>9</v>
      </c>
      <c r="H30" s="10"/>
      <c r="I30" s="885" t="s">
        <v>26</v>
      </c>
      <c r="J30" s="12">
        <v>1E-3</v>
      </c>
      <c r="K30" s="12">
        <v>1</v>
      </c>
      <c r="L30" s="12">
        <v>16.387059999999998</v>
      </c>
      <c r="M30" s="17">
        <v>18927.055</v>
      </c>
      <c r="N30" s="10"/>
      <c r="O30" s="57" t="e">
        <f>C7</f>
        <v>#N/A</v>
      </c>
      <c r="P30" s="1108" t="e">
        <f>H58</f>
        <v>#N/A</v>
      </c>
      <c r="Q30" s="97" t="e">
        <f>P30-O30</f>
        <v>#N/A</v>
      </c>
      <c r="R30" s="654" t="e">
        <f>ABS(Q30)</f>
        <v>#N/A</v>
      </c>
    </row>
    <row r="31" spans="1:20" s="2" customFormat="1" ht="30" customHeight="1" thickBot="1" x14ac:dyDescent="0.3">
      <c r="A31" s="7"/>
      <c r="B31" s="1547" t="s">
        <v>87</v>
      </c>
      <c r="C31" s="1548"/>
      <c r="D31" s="883" t="e">
        <f>VLOOKUP($A$26,DATOS°!$B$24:$M$26,7,FALSE)</f>
        <v>#N/A</v>
      </c>
      <c r="E31" s="662" t="s">
        <v>4</v>
      </c>
      <c r="F31" s="662" t="e">
        <f>VLOOKUP($H$26,DATOS°!$B$14:$N$16,7,FALSE)</f>
        <v>#N/A</v>
      </c>
      <c r="G31" s="96" t="s">
        <v>4</v>
      </c>
      <c r="H31" s="10"/>
      <c r="I31" s="886" t="s">
        <v>176</v>
      </c>
      <c r="J31" s="677">
        <v>1E-3</v>
      </c>
      <c r="K31" s="677">
        <v>1</v>
      </c>
      <c r="L31" s="677">
        <v>16.387059999999998</v>
      </c>
      <c r="M31" s="678">
        <v>18927.055</v>
      </c>
      <c r="N31" s="10"/>
      <c r="O31" s="65" t="e">
        <f>O30</f>
        <v>#N/A</v>
      </c>
      <c r="P31" s="1109" t="e">
        <f>P30</f>
        <v>#N/A</v>
      </c>
      <c r="Q31" s="100" t="e">
        <f>P31-O31</f>
        <v>#N/A</v>
      </c>
      <c r="R31" s="655" t="e">
        <f>ABS(Q31)</f>
        <v>#N/A</v>
      </c>
      <c r="T31" s="470"/>
    </row>
    <row r="32" spans="1:20" s="2" customFormat="1" ht="30" customHeight="1" thickBot="1" x14ac:dyDescent="0.3">
      <c r="A32" s="7"/>
      <c r="B32" s="1547" t="s">
        <v>43</v>
      </c>
      <c r="C32" s="1548"/>
      <c r="D32" s="883" t="e">
        <f>VLOOKUP($A$26,DATOS°!$B$24:$M$26,8,FALSE)</f>
        <v>#N/A</v>
      </c>
      <c r="E32" s="662" t="s">
        <v>4</v>
      </c>
      <c r="F32" s="662" t="e">
        <f>VLOOKUP($H$26,DATOS°!$B$14:$N$16,8,FALSE)</f>
        <v>#N/A</v>
      </c>
      <c r="G32" s="96" t="s">
        <v>4</v>
      </c>
      <c r="H32" s="10"/>
      <c r="R32" s="7"/>
      <c r="T32" s="470"/>
    </row>
    <row r="33" spans="1:25" s="2" customFormat="1" ht="30" customHeight="1" thickBot="1" x14ac:dyDescent="0.3">
      <c r="A33" s="7"/>
      <c r="B33" s="1547" t="s">
        <v>90</v>
      </c>
      <c r="C33" s="1548"/>
      <c r="D33" s="883" t="e">
        <f>VLOOKUP($A$26,DATOS°!$B$24:$M$26,9,FALSE)</f>
        <v>#N/A</v>
      </c>
      <c r="E33" s="662" t="s">
        <v>179</v>
      </c>
      <c r="F33" s="662" t="e">
        <f>VLOOKUP($H$26,DATOS°!$B$14:$N$16,9,FALSE)</f>
        <v>#N/A</v>
      </c>
      <c r="G33" s="96" t="s">
        <v>179</v>
      </c>
      <c r="H33" s="7"/>
      <c r="I33" s="1512" t="s">
        <v>83</v>
      </c>
      <c r="J33" s="1513"/>
      <c r="K33" s="1514"/>
      <c r="L33" s="1515"/>
      <c r="N33" s="1457" t="s">
        <v>84</v>
      </c>
      <c r="O33" s="1516"/>
      <c r="P33" s="1517"/>
      <c r="Q33" s="1518"/>
      <c r="T33" s="470"/>
    </row>
    <row r="34" spans="1:25" s="2" customFormat="1" ht="30" customHeight="1" thickBot="1" x14ac:dyDescent="0.3">
      <c r="A34" s="7"/>
      <c r="B34" s="1547" t="s">
        <v>91</v>
      </c>
      <c r="C34" s="1548"/>
      <c r="D34" s="883" t="e">
        <f>VLOOKUP($A$26,DATOS°!$B$24:$M$26,10,FALSE)</f>
        <v>#N/A</v>
      </c>
      <c r="E34" s="662" t="s">
        <v>13</v>
      </c>
      <c r="F34" s="662" t="e">
        <f>VLOOKUP($H$26,DATOS°!$B$14:$N$16,10,FALSE)</f>
        <v>#N/A</v>
      </c>
      <c r="G34" s="96" t="s">
        <v>13</v>
      </c>
      <c r="H34" s="10"/>
    </row>
    <row r="35" spans="1:25" s="2" customFormat="1" ht="30" customHeight="1" thickBot="1" x14ac:dyDescent="0.3">
      <c r="A35" s="7"/>
      <c r="B35" s="1547" t="s">
        <v>92</v>
      </c>
      <c r="C35" s="1548"/>
      <c r="D35" s="883" t="e">
        <f>VLOOKUP($A$26,DATOS°!$B$24:$M$26,11,FALSE)</f>
        <v>#N/A</v>
      </c>
      <c r="E35" s="662" t="s">
        <v>13</v>
      </c>
      <c r="F35" s="662" t="e">
        <f>VLOOKUP($H$26,DATOS°!$B$14:$N$16,11,FALSE)</f>
        <v>#N/A</v>
      </c>
      <c r="G35" s="96" t="s">
        <v>13</v>
      </c>
      <c r="H35" s="10"/>
      <c r="I35" s="1498" t="s">
        <v>365</v>
      </c>
      <c r="J35" s="1499"/>
      <c r="K35" s="1499"/>
      <c r="L35" s="1499"/>
      <c r="M35" s="1499"/>
      <c r="N35" s="1499"/>
      <c r="O35" s="1499"/>
      <c r="P35" s="1499"/>
      <c r="Q35" s="720" t="s">
        <v>350</v>
      </c>
    </row>
    <row r="36" spans="1:25" s="2" customFormat="1" ht="30" customHeight="1" thickBot="1" x14ac:dyDescent="0.3">
      <c r="A36" s="7"/>
      <c r="B36" s="1547" t="s">
        <v>191</v>
      </c>
      <c r="C36" s="1548"/>
      <c r="D36" s="883" t="e">
        <f>VLOOKUP($A$26,DATOS°!$B$24:$M$26,12,FALSE)</f>
        <v>#N/A</v>
      </c>
      <c r="E36" s="662" t="s">
        <v>179</v>
      </c>
      <c r="F36" s="662" t="e">
        <f>D36</f>
        <v>#N/A</v>
      </c>
      <c r="G36" s="96" t="s">
        <v>179</v>
      </c>
      <c r="H36" s="10"/>
      <c r="I36" s="1500" t="s">
        <v>86</v>
      </c>
      <c r="J36" s="1501"/>
      <c r="K36" s="1502"/>
      <c r="L36" s="1503" t="s">
        <v>22</v>
      </c>
      <c r="M36" s="1504"/>
      <c r="N36" s="1505"/>
      <c r="O36" s="665" t="s">
        <v>23</v>
      </c>
      <c r="P36" s="719" t="s">
        <v>15</v>
      </c>
      <c r="Q36" s="148"/>
    </row>
    <row r="37" spans="1:25" s="2" customFormat="1" ht="30" customHeight="1" thickBot="1" x14ac:dyDescent="0.3">
      <c r="A37" s="7"/>
      <c r="B37" s="1557" t="s">
        <v>88</v>
      </c>
      <c r="C37" s="1558"/>
      <c r="D37" s="1017" t="e">
        <f>K58</f>
        <v>#N/A</v>
      </c>
      <c r="E37" s="93" t="s">
        <v>179</v>
      </c>
      <c r="F37" s="93" t="e">
        <f>D37</f>
        <v>#N/A</v>
      </c>
      <c r="G37" s="101" t="s">
        <v>179</v>
      </c>
      <c r="H37" s="10"/>
      <c r="I37" s="1506" t="s">
        <v>366</v>
      </c>
      <c r="J37" s="1507"/>
      <c r="K37" s="141"/>
      <c r="L37" s="1506" t="s">
        <v>366</v>
      </c>
      <c r="M37" s="1507"/>
      <c r="N37" s="141"/>
      <c r="O37" s="681" t="e">
        <f>AVERAGE(K37,N37)</f>
        <v>#DIV/0!</v>
      </c>
      <c r="P37" s="682" t="e">
        <f>O37+((VLOOKUP($Q$36,DATOS°!$B$162:$O$168,9,FALSE))*O37+(VLOOKUP($Q$36,DATOS°!$B$162:$O$168,10,FALSE)))</f>
        <v>#DIV/0!</v>
      </c>
    </row>
    <row r="38" spans="1:25" s="2" customFormat="1" ht="39" customHeight="1" thickBot="1" x14ac:dyDescent="0.3">
      <c r="A38" s="7"/>
      <c r="B38" s="10"/>
      <c r="C38" s="10"/>
      <c r="D38" s="10"/>
      <c r="E38" s="10"/>
      <c r="F38" s="10"/>
      <c r="G38" s="10"/>
      <c r="H38" s="10"/>
      <c r="I38" s="1506" t="s">
        <v>367</v>
      </c>
      <c r="J38" s="1507"/>
      <c r="K38" s="141"/>
      <c r="L38" s="1506" t="s">
        <v>367</v>
      </c>
      <c r="M38" s="1507"/>
      <c r="N38" s="143"/>
      <c r="O38" s="102" t="e">
        <f>AVERAGE(K38,N38)</f>
        <v>#DIV/0!</v>
      </c>
      <c r="P38" s="682" t="e">
        <f>O38+((VLOOKUP($Q$36,DATOS°!$B$162:$O$168,11,FALSE))*O38+(VLOOKUP($Q$36,DATOS°!$B$162:$O$168,12,FALSE)))</f>
        <v>#DIV/0!</v>
      </c>
    </row>
    <row r="39" spans="1:25" s="2" customFormat="1" ht="30" customHeight="1" thickBot="1" x14ac:dyDescent="0.3">
      <c r="A39" s="7"/>
      <c r="B39" s="1482" t="s">
        <v>210</v>
      </c>
      <c r="C39" s="1483"/>
      <c r="D39" s="1484" t="e">
        <f>VLOOKUP(H39,DATOS°!P9:R13,2,FALSE)</f>
        <v>#N/A</v>
      </c>
      <c r="E39" s="1485"/>
      <c r="F39" s="1485"/>
      <c r="G39" s="1486"/>
      <c r="H39" s="148"/>
      <c r="I39" s="1487" t="s">
        <v>368</v>
      </c>
      <c r="J39" s="1488"/>
      <c r="K39" s="142"/>
      <c r="L39" s="1487" t="s">
        <v>368</v>
      </c>
      <c r="M39" s="1488"/>
      <c r="N39" s="142"/>
      <c r="O39" s="103" t="e">
        <f>AVERAGE(K39,N39)</f>
        <v>#DIV/0!</v>
      </c>
      <c r="P39" s="682" t="e">
        <f>O39+((VLOOKUP($Q$36,DATOS°!$B$162:$O$168,13,FALSE))*O39+(VLOOKUP($Q$36,DATOS°!$B$162:$O$168,14,FALSE)))</f>
        <v>#DIV/0!</v>
      </c>
    </row>
    <row r="40" spans="1:25" s="2" customFormat="1" ht="30" customHeight="1" thickBot="1" x14ac:dyDescent="0.3">
      <c r="A40" s="7"/>
      <c r="H40" s="10"/>
      <c r="I40" s="10"/>
    </row>
    <row r="41" spans="1:25" s="7" customFormat="1" ht="30" customHeight="1" thickBot="1" x14ac:dyDescent="0.3">
      <c r="B41" s="1454" t="s">
        <v>93</v>
      </c>
      <c r="C41" s="1455"/>
      <c r="D41" s="1455"/>
      <c r="E41" s="1455"/>
      <c r="F41" s="1455"/>
      <c r="G41" s="1455"/>
      <c r="H41" s="1455"/>
      <c r="I41" s="1455"/>
      <c r="J41" s="1455"/>
      <c r="K41" s="1455"/>
      <c r="L41" s="1455"/>
      <c r="M41" s="1455"/>
      <c r="N41" s="1456"/>
      <c r="Q41" s="1495" t="s">
        <v>283</v>
      </c>
      <c r="R41" s="1496"/>
      <c r="S41" s="1496"/>
      <c r="T41" s="1496"/>
      <c r="U41" s="1496"/>
      <c r="V41" s="1496"/>
      <c r="W41" s="1496"/>
      <c r="X41" s="1496"/>
      <c r="Y41" s="1497"/>
    </row>
    <row r="42" spans="1:25" s="10" customFormat="1" ht="27.75" customHeight="1" thickBot="1" x14ac:dyDescent="0.3">
      <c r="B42" s="1477" t="s">
        <v>94</v>
      </c>
      <c r="C42" s="1478"/>
      <c r="D42" s="1478"/>
      <c r="E42" s="1478"/>
      <c r="F42" s="1478"/>
      <c r="G42" s="1479"/>
      <c r="I42" s="1477" t="s">
        <v>95</v>
      </c>
      <c r="J42" s="1478"/>
      <c r="K42" s="1478"/>
      <c r="L42" s="1478"/>
      <c r="M42" s="1478"/>
      <c r="N42" s="1479"/>
      <c r="Q42" s="140"/>
      <c r="R42" s="471"/>
      <c r="S42" s="471"/>
      <c r="T42" s="471"/>
      <c r="U42" s="471"/>
      <c r="V42" s="471"/>
      <c r="W42" s="471"/>
      <c r="X42" s="471"/>
      <c r="Y42" s="472"/>
    </row>
    <row r="43" spans="1:25" s="2" customFormat="1" ht="50.1" customHeight="1" thickBot="1" x14ac:dyDescent="0.3">
      <c r="A43" s="148"/>
      <c r="B43" s="994" t="s">
        <v>96</v>
      </c>
      <c r="C43" s="1018" t="s">
        <v>471</v>
      </c>
      <c r="D43" s="493" t="s">
        <v>470</v>
      </c>
      <c r="E43" s="492" t="s">
        <v>98</v>
      </c>
      <c r="F43" s="492" t="s">
        <v>99</v>
      </c>
      <c r="G43" s="494" t="s">
        <v>100</v>
      </c>
      <c r="H43" s="10"/>
      <c r="I43" s="495" t="s">
        <v>97</v>
      </c>
      <c r="J43" s="493" t="s">
        <v>469</v>
      </c>
      <c r="K43" s="492" t="s">
        <v>98</v>
      </c>
      <c r="L43" s="492" t="s">
        <v>99</v>
      </c>
      <c r="M43" s="492" t="s">
        <v>100</v>
      </c>
      <c r="N43" s="1067" t="s">
        <v>557</v>
      </c>
      <c r="O43" s="148"/>
      <c r="Q43" s="25"/>
      <c r="R43" s="10"/>
      <c r="S43" s="10"/>
      <c r="T43" s="10"/>
      <c r="U43" s="10"/>
      <c r="V43" s="10"/>
      <c r="W43" s="10"/>
      <c r="X43" s="10"/>
      <c r="Y43" s="60"/>
    </row>
    <row r="44" spans="1:25" s="2" customFormat="1" ht="30" customHeight="1" x14ac:dyDescent="0.25">
      <c r="A44" s="7"/>
      <c r="B44" s="1022">
        <v>1</v>
      </c>
      <c r="C44" s="1019"/>
      <c r="D44" s="476" t="e">
        <f>C44+(VLOOKUP($A$43,DATOS°!$A$37:$N$50,13,FALSE))*C44+(VLOOKUP($A$43,DATOS°!$A$37:$N$50,14,FALSE))</f>
        <v>#N/A</v>
      </c>
      <c r="E44" s="477"/>
      <c r="F44" s="478"/>
      <c r="G44" s="479">
        <f>E44+F44</f>
        <v>0</v>
      </c>
      <c r="H44" s="14"/>
      <c r="I44" s="486"/>
      <c r="J44" s="476" t="e">
        <f>I44+(VLOOKUP($O$43,DATOS°!$A$37:$N$50,13,FALSE))*I44+(VLOOKUP($O$43,DATOS°!$A$37:$N$50,14,FALSE))</f>
        <v>#N/A</v>
      </c>
      <c r="K44" s="487"/>
      <c r="L44" s="488"/>
      <c r="M44" s="489">
        <f>K44+L44</f>
        <v>0</v>
      </c>
      <c r="N44" s="490"/>
      <c r="O44" s="10"/>
      <c r="Q44" s="25"/>
      <c r="R44" s="10"/>
      <c r="S44" s="10"/>
      <c r="T44" s="10"/>
      <c r="U44" s="10"/>
      <c r="V44" s="10"/>
      <c r="W44" s="10"/>
      <c r="X44" s="10"/>
      <c r="Y44" s="60"/>
    </row>
    <row r="45" spans="1:25" s="2" customFormat="1" ht="30" customHeight="1" thickBot="1" x14ac:dyDescent="0.3">
      <c r="A45" s="7"/>
      <c r="B45" s="1023">
        <v>2</v>
      </c>
      <c r="C45" s="1020"/>
      <c r="D45" s="444" t="e">
        <f>C45+(VLOOKUP($A$43,DATOS°!$A$37:$N$50,13,FALSE))*C45+(VLOOKUP($A$43,DATOS°!$A$37:$N$50,14,FALSE))</f>
        <v>#N/A</v>
      </c>
      <c r="E45" s="170"/>
      <c r="F45" s="171"/>
      <c r="G45" s="429">
        <f t="shared" ref="G45:G46" si="4">E45+F45</f>
        <v>0</v>
      </c>
      <c r="H45" s="14"/>
      <c r="I45" s="467"/>
      <c r="J45" s="444" t="e">
        <f>I45+(VLOOKUP($O$43,DATOS°!$A$37:$N$50,13,FALSE))*I45+(VLOOKUP($O$43,DATOS°!$A$37:$N$50,14,FALSE))</f>
        <v>#N/A</v>
      </c>
      <c r="K45" s="144"/>
      <c r="L45" s="145"/>
      <c r="M45" s="430">
        <f t="shared" ref="M45:M46" si="5">K45+L45</f>
        <v>0</v>
      </c>
      <c r="N45" s="146"/>
      <c r="O45" s="10"/>
      <c r="Q45" s="25"/>
      <c r="R45" s="10"/>
      <c r="S45" s="10"/>
      <c r="T45" s="10"/>
      <c r="U45" s="10"/>
      <c r="V45" s="10"/>
      <c r="W45" s="10"/>
      <c r="X45" s="10"/>
      <c r="Y45" s="60"/>
    </row>
    <row r="46" spans="1:25" s="15" customFormat="1" ht="30" customHeight="1" thickBot="1" x14ac:dyDescent="0.3">
      <c r="A46" s="104" t="s">
        <v>101</v>
      </c>
      <c r="B46" s="1183">
        <v>3</v>
      </c>
      <c r="C46" s="1021"/>
      <c r="D46" s="480" t="e">
        <f>C46+(VLOOKUP($A$43,DATOS°!$A$37:$N$50,13,FALSE))*C46+(VLOOKUP($A$43,DATOS°!$A$37:$N$50,14,FALSE))</f>
        <v>#N/A</v>
      </c>
      <c r="E46" s="481"/>
      <c r="F46" s="482"/>
      <c r="G46" s="483">
        <f t="shared" si="4"/>
        <v>0</v>
      </c>
      <c r="H46" s="14"/>
      <c r="I46" s="484"/>
      <c r="J46" s="480" t="e">
        <f>I46+(VLOOKUP($O$43,DATOS°!$A$37:$N$50,13,FALSE))*I46+(VLOOKUP($O$43,DATOS°!$A$37:$N$50,14,FALSE))</f>
        <v>#N/A</v>
      </c>
      <c r="K46" s="468"/>
      <c r="L46" s="469"/>
      <c r="M46" s="485">
        <f t="shared" si="5"/>
        <v>0</v>
      </c>
      <c r="N46" s="147"/>
      <c r="O46" s="14"/>
      <c r="Q46" s="473"/>
      <c r="R46" s="474"/>
      <c r="S46" s="474"/>
      <c r="T46" s="474"/>
      <c r="U46" s="474"/>
      <c r="V46" s="474"/>
      <c r="W46" s="474"/>
      <c r="X46" s="474"/>
      <c r="Y46" s="475"/>
    </row>
    <row r="47" spans="1:25" s="15" customFormat="1" ht="33.75" customHeight="1" thickBot="1" x14ac:dyDescent="0.3">
      <c r="A47" s="13"/>
      <c r="C47" s="891" t="s">
        <v>558</v>
      </c>
      <c r="D47" s="1070" t="e">
        <f>AVERAGE(D44:D46)</f>
        <v>#N/A</v>
      </c>
      <c r="E47" s="1068"/>
      <c r="F47" s="1068"/>
      <c r="G47" s="1069"/>
      <c r="H47" s="14"/>
      <c r="I47" s="891" t="s">
        <v>558</v>
      </c>
      <c r="J47" s="1070" t="e">
        <f>AVERAGE(J44:J46)</f>
        <v>#N/A</v>
      </c>
      <c r="K47" s="1068"/>
      <c r="L47" s="1068"/>
      <c r="M47" s="1068"/>
      <c r="N47" s="1069"/>
      <c r="O47" s="14"/>
      <c r="Q47" s="10"/>
      <c r="R47" s="10"/>
      <c r="S47" s="10"/>
      <c r="T47" s="10"/>
      <c r="U47" s="10"/>
      <c r="V47" s="10"/>
      <c r="W47" s="10"/>
      <c r="X47" s="10"/>
      <c r="Y47" s="60"/>
    </row>
    <row r="48" spans="1:25" s="15" customFormat="1" ht="45" customHeight="1" x14ac:dyDescent="0.25">
      <c r="A48" s="13"/>
      <c r="O48" s="14"/>
      <c r="Q48" s="10"/>
      <c r="R48" s="10"/>
      <c r="S48" s="10"/>
      <c r="T48" s="10"/>
      <c r="U48" s="10"/>
      <c r="V48" s="10"/>
      <c r="W48" s="10"/>
      <c r="X48" s="10"/>
      <c r="Y48" s="60"/>
    </row>
    <row r="49" spans="1:18" s="15" customFormat="1" ht="45" customHeight="1" x14ac:dyDescent="0.25">
      <c r="A49" s="13"/>
      <c r="B49" s="14"/>
    </row>
    <row r="50" spans="1:18" s="15" customFormat="1" ht="30" customHeight="1" x14ac:dyDescent="0.25">
      <c r="A50" s="13"/>
      <c r="B50" s="13"/>
      <c r="C50" s="13"/>
      <c r="D50" s="13"/>
      <c r="E50" s="13"/>
      <c r="F50" s="13"/>
      <c r="G50" s="13"/>
      <c r="H50" s="13"/>
      <c r="I50" s="13"/>
      <c r="J50" s="13"/>
      <c r="K50" s="13"/>
      <c r="L50" s="13"/>
      <c r="M50" s="13"/>
      <c r="N50" s="13"/>
      <c r="O50" s="13"/>
      <c r="P50" s="13"/>
      <c r="Q50" s="13"/>
      <c r="R50" s="13"/>
    </row>
    <row r="51" spans="1:18" s="2" customFormat="1" ht="30" customHeight="1" x14ac:dyDescent="0.25">
      <c r="A51" s="7"/>
      <c r="B51" s="10"/>
      <c r="H51" s="10"/>
      <c r="N51" s="10"/>
      <c r="O51" s="10"/>
      <c r="P51" s="10"/>
      <c r="Q51" s="7"/>
      <c r="R51" s="7"/>
    </row>
    <row r="52" spans="1:18" s="10" customFormat="1" ht="25.5" customHeight="1" thickBot="1" x14ac:dyDescent="0.3">
      <c r="B52" s="16"/>
      <c r="C52" s="16"/>
      <c r="D52" s="16"/>
      <c r="E52" s="16"/>
      <c r="F52" s="16"/>
      <c r="G52" s="16"/>
      <c r="H52" s="16"/>
      <c r="I52" s="16"/>
      <c r="J52" s="16"/>
      <c r="K52" s="16"/>
      <c r="L52" s="16"/>
      <c r="M52" s="16"/>
      <c r="N52" s="16"/>
      <c r="O52" s="16"/>
    </row>
    <row r="53" spans="1:18" s="2" customFormat="1" ht="30" customHeight="1" thickBot="1" x14ac:dyDescent="0.3">
      <c r="A53" s="7"/>
      <c r="B53" s="7"/>
      <c r="C53" s="7"/>
      <c r="D53" s="7"/>
      <c r="E53" s="1454" t="s">
        <v>559</v>
      </c>
      <c r="F53" s="1455"/>
      <c r="G53" s="1455"/>
      <c r="H53" s="1455"/>
      <c r="I53" s="1455"/>
      <c r="J53" s="1455"/>
      <c r="K53" s="1455"/>
      <c r="L53" s="1456"/>
      <c r="M53" s="7"/>
      <c r="N53" s="7"/>
      <c r="O53" s="7"/>
      <c r="P53" s="7"/>
      <c r="Q53" s="7"/>
    </row>
    <row r="54" spans="1:18" s="2" customFormat="1" ht="30" customHeight="1" thickBot="1" x14ac:dyDescent="0.3">
      <c r="A54" s="7"/>
      <c r="E54" s="1480" t="s">
        <v>96</v>
      </c>
      <c r="F54" s="1481"/>
      <c r="G54" s="157" t="s">
        <v>177</v>
      </c>
      <c r="H54" s="158" t="s">
        <v>178</v>
      </c>
      <c r="I54" s="10"/>
      <c r="J54" s="159"/>
      <c r="K54" s="160"/>
      <c r="L54" s="161"/>
      <c r="M54" s="7"/>
      <c r="N54" s="162" t="s">
        <v>4</v>
      </c>
      <c r="O54" s="1472" t="s">
        <v>102</v>
      </c>
      <c r="P54" s="71"/>
      <c r="Q54" s="75" t="e">
        <f>IF(R30&gt;=(N55)," AJUSTAR","NO AJUSTAR")</f>
        <v>#N/A</v>
      </c>
      <c r="R54" s="68"/>
    </row>
    <row r="55" spans="1:18" s="2" customFormat="1" ht="30" customHeight="1" thickBot="1" x14ac:dyDescent="0.3">
      <c r="A55" s="7"/>
      <c r="E55" s="1474">
        <v>1</v>
      </c>
      <c r="F55" s="1475"/>
      <c r="G55" s="99" t="e">
        <f>$C$7*((1-$D$33*($D$29-D44))+($K$55)*(J44-D44)+$F$33*($F$29-J44))</f>
        <v>#N/A</v>
      </c>
      <c r="H55" s="98" t="e">
        <f>G55+N44</f>
        <v>#N/A</v>
      </c>
      <c r="I55" s="10"/>
      <c r="J55" s="885">
        <v>1</v>
      </c>
      <c r="K55" s="106" t="e">
        <f>(-0.1176*((D44+J44)/2)^2+(15.846*(D44+J44)/2)-62.677)*10^-6</f>
        <v>#N/A</v>
      </c>
      <c r="L55" s="107" t="s">
        <v>179</v>
      </c>
      <c r="M55" s="10"/>
      <c r="N55" s="533">
        <v>8.1940000000000008</v>
      </c>
      <c r="O55" s="1473"/>
      <c r="P55" s="74"/>
      <c r="Q55" s="163" t="e">
        <f>Q30</f>
        <v>#N/A</v>
      </c>
      <c r="R55" s="74"/>
    </row>
    <row r="56" spans="1:18" s="2" customFormat="1" ht="30" customHeight="1" thickBot="1" x14ac:dyDescent="0.3">
      <c r="A56" s="7"/>
      <c r="E56" s="1474">
        <v>2</v>
      </c>
      <c r="F56" s="1475"/>
      <c r="G56" s="99" t="e">
        <f>$C$7*((1-$D$33*($D$29-D45))+($K$56)*(J45-D45)+$F$33*($F$29-J45))</f>
        <v>#N/A</v>
      </c>
      <c r="H56" s="98" t="e">
        <f>G56+N45</f>
        <v>#N/A</v>
      </c>
      <c r="I56" s="10"/>
      <c r="J56" s="885">
        <v>2</v>
      </c>
      <c r="K56" s="106" t="e">
        <f>(-0.1176*((D45+J45)/2)^2+(15.846*(D45+J45)/2)-62.677)*10^-6</f>
        <v>#N/A</v>
      </c>
      <c r="L56" s="107" t="s">
        <v>179</v>
      </c>
      <c r="N56" s="164" t="s">
        <v>286</v>
      </c>
      <c r="O56" s="1476" t="s">
        <v>180</v>
      </c>
      <c r="P56" s="73"/>
      <c r="Q56" s="76" t="e">
        <f>IF(R28&gt;=(N57)," AJUSTAR","NO AJUSTAR")</f>
        <v>#N/A</v>
      </c>
      <c r="R56" s="70"/>
    </row>
    <row r="57" spans="1:18" s="2" customFormat="1" ht="30" customHeight="1" thickBot="1" x14ac:dyDescent="0.3">
      <c r="A57" s="7"/>
      <c r="E57" s="1474">
        <v>3</v>
      </c>
      <c r="F57" s="1475"/>
      <c r="G57" s="99" t="e">
        <f>$C$7*((1-$D$33*($D$29-D46))+($K$57)*(J46-D46)+$F$33*($F$29-J46))</f>
        <v>#N/A</v>
      </c>
      <c r="H57" s="98" t="e">
        <f>G57+N46</f>
        <v>#N/A</v>
      </c>
      <c r="I57" s="10"/>
      <c r="J57" s="885">
        <v>3</v>
      </c>
      <c r="K57" s="106" t="e">
        <f>(-0.1176*((D46+J46)/2)^2+(15.846*(D46+J46)/2)-62.677)*10^-6</f>
        <v>#N/A</v>
      </c>
      <c r="L57" s="107" t="s">
        <v>179</v>
      </c>
      <c r="N57" s="108">
        <v>0.5</v>
      </c>
      <c r="O57" s="1473"/>
      <c r="P57" s="72"/>
      <c r="Q57" s="165" t="e">
        <f>Q28</f>
        <v>#N/A</v>
      </c>
      <c r="R57" s="69"/>
    </row>
    <row r="58" spans="1:18" s="2" customFormat="1" ht="30" customHeight="1" thickBot="1" x14ac:dyDescent="0.3">
      <c r="A58" s="7"/>
      <c r="E58" s="1466" t="s">
        <v>181</v>
      </c>
      <c r="F58" s="1467"/>
      <c r="G58" s="1468"/>
      <c r="H58" s="98" t="e">
        <f>AVERAGE(H55:H57)</f>
        <v>#N/A</v>
      </c>
      <c r="J58" s="19" t="s">
        <v>2</v>
      </c>
      <c r="K58" s="20" t="e">
        <f>AVERAGE(K55:K57)</f>
        <v>#N/A</v>
      </c>
      <c r="L58" s="21" t="s">
        <v>179</v>
      </c>
    </row>
    <row r="59" spans="1:18" s="2" customFormat="1" ht="30" customHeight="1" x14ac:dyDescent="0.25">
      <c r="A59" s="7"/>
      <c r="E59" s="1466" t="s">
        <v>182</v>
      </c>
      <c r="F59" s="1467"/>
      <c r="G59" s="1468"/>
      <c r="H59" s="109" t="e">
        <f>_xlfn.STDEV.S(H55:H57)</f>
        <v>#N/A</v>
      </c>
      <c r="I59" s="7"/>
    </row>
    <row r="60" spans="1:18" s="2" customFormat="1" ht="30" customHeight="1" thickBot="1" x14ac:dyDescent="0.3">
      <c r="A60" s="7"/>
      <c r="B60" s="10"/>
      <c r="E60" s="1469" t="s">
        <v>103</v>
      </c>
      <c r="F60" s="1470"/>
      <c r="G60" s="1471"/>
      <c r="H60" s="111" t="e">
        <f>H59/SQRT(3)</f>
        <v>#N/A</v>
      </c>
      <c r="I60" s="7"/>
      <c r="J60" s="10"/>
      <c r="K60" s="10"/>
      <c r="L60" s="10"/>
      <c r="M60" s="10"/>
      <c r="N60" s="10"/>
      <c r="O60" s="10"/>
      <c r="P60" s="10"/>
      <c r="Q60" s="7"/>
      <c r="R60" s="7"/>
    </row>
    <row r="61" spans="1:18" s="2" customFormat="1" ht="30" customHeight="1" x14ac:dyDescent="0.25">
      <c r="A61" s="7"/>
      <c r="B61" s="10"/>
      <c r="M61" s="10" t="s">
        <v>12</v>
      </c>
      <c r="N61" s="10"/>
      <c r="O61" s="10"/>
      <c r="P61" s="10"/>
      <c r="Q61" s="7"/>
      <c r="R61" s="7"/>
    </row>
    <row r="62" spans="1:18" s="10" customFormat="1" ht="22.5" customHeight="1" x14ac:dyDescent="0.25">
      <c r="A62" s="23"/>
      <c r="J62" s="8"/>
      <c r="K62" s="8"/>
      <c r="L62" s="24"/>
      <c r="M62" s="24"/>
      <c r="N62" s="24"/>
      <c r="O62" s="24"/>
      <c r="Q62" s="7"/>
      <c r="R62" s="7"/>
    </row>
    <row r="63" spans="1:18" s="2" customFormat="1" ht="30" customHeight="1" thickBot="1" x14ac:dyDescent="0.3">
      <c r="M63" s="10"/>
      <c r="N63" s="10"/>
      <c r="O63" s="10"/>
      <c r="P63" s="10"/>
      <c r="Q63" s="7"/>
      <c r="R63" s="7"/>
    </row>
    <row r="64" spans="1:18" s="2" customFormat="1" ht="30" customHeight="1" thickBot="1" x14ac:dyDescent="0.3">
      <c r="A64" s="10"/>
      <c r="B64" s="1454" t="s">
        <v>104</v>
      </c>
      <c r="C64" s="1455"/>
      <c r="D64" s="1455"/>
      <c r="E64" s="1455"/>
      <c r="F64" s="1455"/>
      <c r="G64" s="1455"/>
      <c r="H64" s="1455"/>
      <c r="I64" s="1455"/>
      <c r="J64" s="1455"/>
      <c r="K64" s="1455"/>
      <c r="L64" s="1456"/>
      <c r="M64" s="10"/>
      <c r="Q64" s="7"/>
      <c r="R64" s="7"/>
    </row>
    <row r="65" spans="1:18" s="2" customFormat="1" ht="30" customHeight="1" thickBot="1" x14ac:dyDescent="0.3">
      <c r="A65" s="10"/>
      <c r="B65" s="112"/>
      <c r="C65" s="22"/>
      <c r="D65" s="22"/>
      <c r="E65" s="22"/>
      <c r="F65" s="22"/>
      <c r="G65" s="22"/>
      <c r="H65" s="22"/>
      <c r="I65" s="22"/>
      <c r="J65" s="22"/>
      <c r="K65" s="994" t="s">
        <v>105</v>
      </c>
      <c r="L65" s="994" t="s">
        <v>68</v>
      </c>
      <c r="M65" s="10"/>
      <c r="N65" s="491" t="s">
        <v>68</v>
      </c>
      <c r="O65" s="492" t="s">
        <v>1</v>
      </c>
      <c r="P65" s="494" t="s">
        <v>0</v>
      </c>
      <c r="Q65" s="7"/>
      <c r="R65" s="7"/>
    </row>
    <row r="66" spans="1:18" s="10" customFormat="1" ht="30" customHeight="1" thickBot="1" x14ac:dyDescent="0.3">
      <c r="B66" s="1464" t="s">
        <v>213</v>
      </c>
      <c r="C66" s="1465"/>
      <c r="D66" s="1465"/>
      <c r="E66" s="880"/>
      <c r="F66" s="880"/>
      <c r="G66" s="113"/>
      <c r="H66" s="113"/>
      <c r="I66" s="113"/>
      <c r="J66" s="113"/>
      <c r="K66" s="995" t="e">
        <f>(1-$O$74*(O72-O68))+(O78)*(P70-O68)+P76*(P80-P70)</f>
        <v>#N/A</v>
      </c>
      <c r="L66" s="997" t="s">
        <v>345</v>
      </c>
      <c r="N66" s="991"/>
      <c r="O66" s="992" t="e">
        <f>C7</f>
        <v>#N/A</v>
      </c>
      <c r="P66" s="993"/>
    </row>
    <row r="67" spans="1:18" s="2" customFormat="1" ht="5.0999999999999996" customHeight="1" thickBot="1" x14ac:dyDescent="0.3">
      <c r="A67" s="10"/>
      <c r="B67" s="59"/>
      <c r="C67" s="9"/>
      <c r="D67" s="9"/>
      <c r="E67" s="9"/>
      <c r="F67" s="114"/>
      <c r="G67" s="110"/>
      <c r="H67" s="110"/>
      <c r="I67" s="110"/>
      <c r="J67" s="110"/>
      <c r="K67" s="9"/>
      <c r="L67" s="998"/>
      <c r="M67" s="10"/>
      <c r="N67" s="26"/>
      <c r="O67" s="27"/>
      <c r="P67" s="28"/>
      <c r="R67" s="7"/>
    </row>
    <row r="68" spans="1:18" s="7" customFormat="1" ht="30" customHeight="1" thickBot="1" x14ac:dyDescent="0.3">
      <c r="A68" s="10"/>
      <c r="B68" s="1464" t="s">
        <v>214</v>
      </c>
      <c r="C68" s="1465"/>
      <c r="D68" s="1465"/>
      <c r="E68" s="1465"/>
      <c r="F68" s="880"/>
      <c r="G68" s="113"/>
      <c r="H68" s="113"/>
      <c r="I68" s="113"/>
      <c r="J68" s="113"/>
      <c r="K68" s="995" t="e">
        <f>$O$66*(O74-O78)</f>
        <v>#N/A</v>
      </c>
      <c r="L68" s="997" t="s">
        <v>369</v>
      </c>
      <c r="N68" s="29"/>
      <c r="O68" s="30" t="e">
        <f>D47</f>
        <v>#N/A</v>
      </c>
      <c r="P68" s="535"/>
    </row>
    <row r="69" spans="1:18" s="2" customFormat="1" ht="5.0999999999999996" customHeight="1" thickBot="1" x14ac:dyDescent="0.3">
      <c r="A69" s="10"/>
      <c r="B69" s="59"/>
      <c r="C69" s="9"/>
      <c r="D69" s="9"/>
      <c r="E69" s="9"/>
      <c r="F69" s="114"/>
      <c r="G69" s="110"/>
      <c r="H69" s="110"/>
      <c r="I69" s="110"/>
      <c r="J69" s="110"/>
      <c r="K69" s="9"/>
      <c r="L69" s="999"/>
      <c r="M69" s="7"/>
      <c r="N69" s="26"/>
      <c r="O69" s="27"/>
      <c r="P69" s="28"/>
      <c r="Q69" s="7"/>
      <c r="R69" s="7"/>
    </row>
    <row r="70" spans="1:18" s="7" customFormat="1" ht="30" customHeight="1" thickBot="1" x14ac:dyDescent="0.3">
      <c r="A70" s="10"/>
      <c r="B70" s="1464" t="s">
        <v>215</v>
      </c>
      <c r="C70" s="1465"/>
      <c r="D70" s="1465"/>
      <c r="E70" s="1465"/>
      <c r="F70" s="880"/>
      <c r="G70" s="113"/>
      <c r="H70" s="113"/>
      <c r="I70" s="113"/>
      <c r="J70" s="113"/>
      <c r="K70" s="995" t="e">
        <f>$O$66*(O78-P76)</f>
        <v>#N/A</v>
      </c>
      <c r="L70" s="997" t="s">
        <v>369</v>
      </c>
      <c r="N70" s="29"/>
      <c r="O70" s="536"/>
      <c r="P70" s="31" t="e">
        <f>J47</f>
        <v>#N/A</v>
      </c>
    </row>
    <row r="71" spans="1:18" s="2" customFormat="1" ht="5.0999999999999996" customHeight="1" thickBot="1" x14ac:dyDescent="0.3">
      <c r="A71" s="10"/>
      <c r="B71" s="59"/>
      <c r="C71" s="9"/>
      <c r="D71" s="9"/>
      <c r="E71" s="9"/>
      <c r="F71" s="9"/>
      <c r="G71" s="110"/>
      <c r="H71" s="110"/>
      <c r="I71" s="110"/>
      <c r="J71" s="110"/>
      <c r="K71" s="9"/>
      <c r="L71" s="999"/>
      <c r="M71" s="7"/>
      <c r="N71" s="26"/>
      <c r="O71" s="27"/>
      <c r="P71" s="28"/>
      <c r="Q71" s="7"/>
      <c r="R71" s="7"/>
    </row>
    <row r="72" spans="1:18" s="7" customFormat="1" ht="30" customHeight="1" thickBot="1" x14ac:dyDescent="0.3">
      <c r="A72" s="10"/>
      <c r="B72" s="1464" t="s">
        <v>212</v>
      </c>
      <c r="C72" s="1465"/>
      <c r="D72" s="1465"/>
      <c r="E72" s="1465"/>
      <c r="F72" s="1465"/>
      <c r="G72" s="113"/>
      <c r="H72" s="113"/>
      <c r="I72" s="113"/>
      <c r="J72" s="113"/>
      <c r="K72" s="995" t="e">
        <f>-O$66*(O72-O68)</f>
        <v>#N/A</v>
      </c>
      <c r="L72" s="997" t="s">
        <v>346</v>
      </c>
      <c r="N72" s="32"/>
      <c r="O72" s="12" t="e">
        <f>D29</f>
        <v>#N/A</v>
      </c>
      <c r="P72" s="33"/>
    </row>
    <row r="73" spans="1:18" s="2" customFormat="1" ht="5.0999999999999996" customHeight="1" thickBot="1" x14ac:dyDescent="0.3">
      <c r="A73" s="10"/>
      <c r="B73" s="59"/>
      <c r="C73" s="9"/>
      <c r="D73" s="9"/>
      <c r="E73" s="9"/>
      <c r="F73" s="9"/>
      <c r="G73" s="110"/>
      <c r="H73" s="110"/>
      <c r="I73" s="110"/>
      <c r="J73" s="110"/>
      <c r="K73" s="9"/>
      <c r="L73" s="999"/>
      <c r="M73" s="7"/>
      <c r="N73" s="26"/>
      <c r="O73" s="27"/>
      <c r="P73" s="28"/>
      <c r="Q73" s="7"/>
      <c r="R73" s="7"/>
    </row>
    <row r="74" spans="1:18" s="7" customFormat="1" ht="30" customHeight="1" thickBot="1" x14ac:dyDescent="0.3">
      <c r="A74" s="10"/>
      <c r="B74" s="1464" t="s">
        <v>211</v>
      </c>
      <c r="C74" s="1465"/>
      <c r="D74" s="1465"/>
      <c r="E74" s="1465"/>
      <c r="F74" s="1465"/>
      <c r="G74" s="115"/>
      <c r="H74" s="115"/>
      <c r="I74" s="115"/>
      <c r="J74" s="113"/>
      <c r="K74" s="995" t="e">
        <f>$O$66*(P80-P70)</f>
        <v>#N/A</v>
      </c>
      <c r="L74" s="997" t="s">
        <v>346</v>
      </c>
      <c r="N74" s="29"/>
      <c r="O74" s="66" t="e">
        <f>D33</f>
        <v>#N/A</v>
      </c>
      <c r="P74" s="535"/>
    </row>
    <row r="75" spans="1:18" s="2" customFormat="1" ht="5.0999999999999996" customHeight="1" thickBot="1" x14ac:dyDescent="0.3">
      <c r="A75" s="10"/>
      <c r="B75" s="59"/>
      <c r="C75" s="9"/>
      <c r="D75" s="9"/>
      <c r="E75" s="9"/>
      <c r="F75" s="9"/>
      <c r="G75" s="110"/>
      <c r="H75" s="110"/>
      <c r="I75" s="110"/>
      <c r="J75" s="110"/>
      <c r="K75" s="9"/>
      <c r="L75" s="999"/>
      <c r="M75" s="7"/>
      <c r="N75" s="26"/>
      <c r="O75" s="27"/>
      <c r="P75" s="28"/>
      <c r="Q75" s="7"/>
      <c r="R75" s="7"/>
    </row>
    <row r="76" spans="1:18" s="7" customFormat="1" ht="30" customHeight="1" thickBot="1" x14ac:dyDescent="0.3">
      <c r="A76" s="10"/>
      <c r="B76" s="1464" t="s">
        <v>106</v>
      </c>
      <c r="C76" s="1465"/>
      <c r="D76" s="1465"/>
      <c r="E76" s="1465"/>
      <c r="F76" s="1465"/>
      <c r="G76" s="113"/>
      <c r="H76" s="113"/>
      <c r="I76" s="113"/>
      <c r="J76" s="113"/>
      <c r="K76" s="995" t="e">
        <f>$O$66*(P70-O68)</f>
        <v>#N/A</v>
      </c>
      <c r="L76" s="997" t="s">
        <v>346</v>
      </c>
      <c r="N76" s="29"/>
      <c r="O76" s="536"/>
      <c r="P76" s="431" t="e">
        <f>F33</f>
        <v>#N/A</v>
      </c>
    </row>
    <row r="77" spans="1:18" s="2" customFormat="1" ht="5.0999999999999996" customHeight="1" thickBot="1" x14ac:dyDescent="0.3">
      <c r="A77" s="10"/>
      <c r="B77" s="59"/>
      <c r="C77" s="9"/>
      <c r="D77" s="9"/>
      <c r="E77" s="114"/>
      <c r="F77" s="114"/>
      <c r="G77" s="110"/>
      <c r="H77" s="110"/>
      <c r="I77" s="110"/>
      <c r="J77" s="110"/>
      <c r="K77" s="9"/>
      <c r="L77" s="1000"/>
      <c r="M77" s="24"/>
      <c r="N77" s="34"/>
      <c r="O77" s="27"/>
      <c r="P77" s="28"/>
      <c r="Q77" s="7"/>
      <c r="R77" s="7"/>
    </row>
    <row r="78" spans="1:18" s="7" customFormat="1" ht="30" customHeight="1" thickBot="1" x14ac:dyDescent="0.3">
      <c r="A78" s="10"/>
      <c r="B78" s="1464" t="s">
        <v>107</v>
      </c>
      <c r="C78" s="1465"/>
      <c r="D78" s="1465"/>
      <c r="E78" s="116"/>
      <c r="F78" s="116"/>
      <c r="G78" s="115"/>
      <c r="H78" s="115"/>
      <c r="I78" s="115"/>
      <c r="J78" s="113"/>
      <c r="K78" s="996">
        <v>1</v>
      </c>
      <c r="L78" s="997" t="s">
        <v>345</v>
      </c>
      <c r="M78" s="24"/>
      <c r="N78" s="29"/>
      <c r="O78" s="18" t="e">
        <f>D37</f>
        <v>#N/A</v>
      </c>
      <c r="P78" s="35" t="e">
        <f>F37</f>
        <v>#N/A</v>
      </c>
    </row>
    <row r="79" spans="1:18" s="2" customFormat="1" ht="5.0999999999999996" customHeight="1" thickBot="1" x14ac:dyDescent="0.3">
      <c r="A79" s="4"/>
      <c r="B79" s="59"/>
      <c r="C79" s="9"/>
      <c r="D79" s="9"/>
      <c r="E79" s="114"/>
      <c r="F79" s="114"/>
      <c r="G79" s="110"/>
      <c r="H79" s="110"/>
      <c r="I79" s="110"/>
      <c r="J79" s="110"/>
      <c r="K79" s="9"/>
      <c r="L79" s="1000"/>
      <c r="M79" s="24"/>
      <c r="N79" s="34"/>
      <c r="O79" s="27"/>
      <c r="P79" s="28"/>
      <c r="Q79" s="7"/>
      <c r="R79" s="7"/>
    </row>
    <row r="80" spans="1:18" s="7" customFormat="1" ht="30" customHeight="1" thickBot="1" x14ac:dyDescent="0.3">
      <c r="A80" s="10"/>
      <c r="B80" s="1464" t="s">
        <v>108</v>
      </c>
      <c r="C80" s="1465"/>
      <c r="D80" s="1465"/>
      <c r="E80" s="116"/>
      <c r="F80" s="116"/>
      <c r="G80" s="115"/>
      <c r="H80" s="115"/>
      <c r="I80" s="115"/>
      <c r="J80" s="113"/>
      <c r="K80" s="996">
        <v>1</v>
      </c>
      <c r="L80" s="997" t="s">
        <v>345</v>
      </c>
      <c r="M80" s="24"/>
      <c r="N80" s="36"/>
      <c r="O80" s="990"/>
      <c r="P80" s="432" t="e">
        <f>F29</f>
        <v>#N/A</v>
      </c>
    </row>
    <row r="81" spans="1:18" s="2" customFormat="1" ht="5.0999999999999996" customHeight="1" thickBot="1" x14ac:dyDescent="0.3">
      <c r="A81" s="10"/>
      <c r="B81" s="59"/>
      <c r="C81" s="9"/>
      <c r="D81" s="9"/>
      <c r="E81" s="114"/>
      <c r="F81" s="114"/>
      <c r="G81" s="110"/>
      <c r="H81" s="110"/>
      <c r="I81" s="110"/>
      <c r="J81" s="110"/>
      <c r="K81" s="9"/>
      <c r="L81" s="1000"/>
      <c r="M81" s="24"/>
      <c r="Q81" s="7"/>
      <c r="R81" s="7"/>
    </row>
    <row r="82" spans="1:18" s="7" customFormat="1" ht="30" customHeight="1" thickBot="1" x14ac:dyDescent="0.3">
      <c r="A82" s="10"/>
      <c r="B82" s="1464" t="s">
        <v>109</v>
      </c>
      <c r="C82" s="1465"/>
      <c r="D82" s="1465"/>
      <c r="E82" s="880"/>
      <c r="F82" s="880"/>
      <c r="G82" s="113"/>
      <c r="H82" s="113"/>
      <c r="I82" s="113"/>
      <c r="J82" s="113"/>
      <c r="K82" s="996">
        <v>1</v>
      </c>
      <c r="L82" s="997" t="s">
        <v>345</v>
      </c>
      <c r="M82" s="24"/>
    </row>
    <row r="83" spans="1:18" s="7" customFormat="1" ht="9.75" customHeight="1" thickBot="1" x14ac:dyDescent="0.3">
      <c r="A83" s="10"/>
      <c r="B83" s="473"/>
      <c r="C83" s="474"/>
      <c r="D83" s="474"/>
      <c r="E83" s="474"/>
      <c r="F83" s="474"/>
      <c r="G83" s="474"/>
      <c r="H83" s="474"/>
      <c r="I83" s="474"/>
      <c r="J83" s="474"/>
      <c r="K83" s="474"/>
      <c r="L83" s="1001"/>
      <c r="M83" s="24"/>
      <c r="N83" s="24"/>
      <c r="O83" s="37"/>
      <c r="P83" s="10"/>
    </row>
    <row r="84" spans="1:18" s="7" customFormat="1" ht="39.75" customHeight="1" x14ac:dyDescent="0.25">
      <c r="A84" s="10"/>
      <c r="B84" s="24"/>
      <c r="C84" s="24"/>
      <c r="D84" s="24"/>
      <c r="E84" s="24"/>
      <c r="F84" s="24"/>
      <c r="G84" s="24"/>
      <c r="H84" s="24"/>
      <c r="I84" s="24"/>
      <c r="J84" s="24"/>
      <c r="K84" s="24"/>
      <c r="L84" s="24"/>
      <c r="M84" s="24"/>
    </row>
    <row r="85" spans="1:18" s="7" customFormat="1" ht="34.5" customHeight="1" thickBot="1" x14ac:dyDescent="0.3">
      <c r="A85" s="10"/>
      <c r="M85" s="24"/>
      <c r="N85" s="24"/>
      <c r="O85" s="37"/>
      <c r="P85" s="10"/>
    </row>
    <row r="86" spans="1:18" s="7" customFormat="1" ht="34.5" customHeight="1" thickBot="1" x14ac:dyDescent="0.3">
      <c r="A86" s="24"/>
      <c r="B86" s="1454" t="s">
        <v>110</v>
      </c>
      <c r="C86" s="1455"/>
      <c r="D86" s="1455"/>
      <c r="E86" s="1455"/>
      <c r="F86" s="1455"/>
      <c r="G86" s="1455"/>
      <c r="H86" s="1455"/>
      <c r="I86" s="1455"/>
      <c r="J86" s="1455"/>
      <c r="K86" s="1455"/>
      <c r="L86" s="1455"/>
      <c r="M86" s="1455"/>
      <c r="N86" s="1455"/>
      <c r="O86" s="1455"/>
      <c r="P86" s="1455"/>
      <c r="Q86" s="1456"/>
    </row>
    <row r="87" spans="1:18" s="2" customFormat="1" ht="39.950000000000003" customHeight="1" thickBot="1" x14ac:dyDescent="0.3">
      <c r="B87" s="1457" t="s">
        <v>111</v>
      </c>
      <c r="C87" s="1458"/>
      <c r="D87" s="249" t="s">
        <v>183</v>
      </c>
      <c r="E87" s="1010" t="s">
        <v>112</v>
      </c>
      <c r="F87" s="249"/>
      <c r="G87" s="249" t="s">
        <v>113</v>
      </c>
      <c r="H87" s="493" t="s">
        <v>114</v>
      </c>
      <c r="I87" s="249"/>
      <c r="J87" s="492" t="s">
        <v>115</v>
      </c>
      <c r="K87" s="249"/>
      <c r="L87" s="492" t="s">
        <v>116</v>
      </c>
      <c r="M87" s="249"/>
      <c r="N87" s="492" t="s">
        <v>379</v>
      </c>
      <c r="O87" s="492" t="s">
        <v>117</v>
      </c>
      <c r="P87" s="492" t="s">
        <v>118</v>
      </c>
      <c r="Q87" s="1011" t="s">
        <v>119</v>
      </c>
    </row>
    <row r="88" spans="1:18" s="2" customFormat="1" ht="39.950000000000003" customHeight="1" x14ac:dyDescent="0.25">
      <c r="A88" s="7"/>
      <c r="B88" s="1459" t="s">
        <v>120</v>
      </c>
      <c r="C88" s="1460"/>
      <c r="D88" s="1101" t="e">
        <f>C7</f>
        <v>#N/A</v>
      </c>
      <c r="E88" s="1007"/>
      <c r="F88" s="1007"/>
      <c r="G88" s="1007"/>
      <c r="H88" s="1007"/>
      <c r="I88" s="1007"/>
      <c r="J88" s="1007"/>
      <c r="K88" s="1007"/>
      <c r="L88" s="1007"/>
      <c r="M88" s="1007"/>
      <c r="N88" s="1008"/>
      <c r="O88" s="1007"/>
      <c r="P88" s="1007"/>
      <c r="Q88" s="1009"/>
    </row>
    <row r="89" spans="1:18" s="37" customFormat="1" ht="39.950000000000003" customHeight="1" x14ac:dyDescent="0.25">
      <c r="B89" s="1448" t="s">
        <v>121</v>
      </c>
      <c r="C89" s="1449"/>
      <c r="D89" s="1002"/>
      <c r="E89" s="124" t="e">
        <f>I7</f>
        <v>#N/A</v>
      </c>
      <c r="F89" s="425" t="s">
        <v>4</v>
      </c>
      <c r="G89" s="38" t="e">
        <f>O7</f>
        <v>#N/A</v>
      </c>
      <c r="H89" s="38" t="e">
        <f>E89/G89</f>
        <v>#N/A</v>
      </c>
      <c r="I89" s="425" t="s">
        <v>4</v>
      </c>
      <c r="J89" s="118" t="e">
        <f>K66</f>
        <v>#N/A</v>
      </c>
      <c r="K89" s="39" t="str">
        <f>L68</f>
        <v>mL°C-1</v>
      </c>
      <c r="L89" s="119" t="e">
        <f>H89*J89</f>
        <v>#N/A</v>
      </c>
      <c r="M89" s="39" t="s">
        <v>4</v>
      </c>
      <c r="N89" s="118" t="e">
        <f>L89^2</f>
        <v>#N/A</v>
      </c>
      <c r="O89" s="39" t="s">
        <v>19</v>
      </c>
      <c r="P89" s="39" t="s">
        <v>122</v>
      </c>
      <c r="Q89" s="40">
        <v>50</v>
      </c>
    </row>
    <row r="90" spans="1:18" s="2" customFormat="1" ht="39.950000000000003" customHeight="1" thickBot="1" x14ac:dyDescent="0.3">
      <c r="A90" s="1461"/>
      <c r="B90" s="1452" t="s">
        <v>123</v>
      </c>
      <c r="C90" s="1453"/>
      <c r="D90" s="1002"/>
      <c r="E90" s="118" t="e">
        <f>K7</f>
        <v>#N/A</v>
      </c>
      <c r="F90" s="117" t="s">
        <v>4</v>
      </c>
      <c r="G90" s="38">
        <f>SQRT(3)</f>
        <v>1.7320508075688772</v>
      </c>
      <c r="H90" s="38" t="e">
        <f>E90/G90</f>
        <v>#N/A</v>
      </c>
      <c r="I90" s="117" t="str">
        <f>F90</f>
        <v>mL</v>
      </c>
      <c r="J90" s="118" t="e">
        <f>K66</f>
        <v>#N/A</v>
      </c>
      <c r="K90" s="39" t="str">
        <f>L68</f>
        <v>mL°C-1</v>
      </c>
      <c r="L90" s="119" t="e">
        <f>H90*J90</f>
        <v>#N/A</v>
      </c>
      <c r="M90" s="39" t="s">
        <v>4</v>
      </c>
      <c r="N90" s="118" t="e">
        <f>L90^2</f>
        <v>#N/A</v>
      </c>
      <c r="O90" s="39" t="s">
        <v>19</v>
      </c>
      <c r="P90" s="39" t="s">
        <v>5</v>
      </c>
      <c r="Q90" s="40" t="s">
        <v>11</v>
      </c>
      <c r="R90" s="7"/>
    </row>
    <row r="91" spans="1:18" s="2" customFormat="1" ht="5.0999999999999996" customHeight="1" thickBot="1" x14ac:dyDescent="0.3">
      <c r="A91" s="1461"/>
      <c r="B91" s="1462"/>
      <c r="C91" s="1463"/>
      <c r="D91" s="884"/>
      <c r="E91" s="667"/>
      <c r="F91" s="667"/>
      <c r="G91" s="667"/>
      <c r="H91" s="667"/>
      <c r="I91" s="667"/>
      <c r="J91" s="667"/>
      <c r="K91" s="667"/>
      <c r="L91" s="667"/>
      <c r="M91" s="667"/>
      <c r="N91" s="1115"/>
      <c r="O91" s="667"/>
      <c r="P91" s="667"/>
      <c r="Q91" s="668"/>
      <c r="R91" s="7"/>
    </row>
    <row r="92" spans="1:18" s="37" customFormat="1" ht="39.950000000000003" customHeight="1" x14ac:dyDescent="0.25">
      <c r="B92" s="1450" t="s">
        <v>216</v>
      </c>
      <c r="C92" s="1451"/>
      <c r="D92" s="1102" t="e">
        <f>C18</f>
        <v>#N/A</v>
      </c>
      <c r="E92" s="666"/>
      <c r="F92" s="667"/>
      <c r="G92" s="667"/>
      <c r="H92" s="667"/>
      <c r="I92" s="667"/>
      <c r="J92" s="667"/>
      <c r="K92" s="667"/>
      <c r="L92" s="667"/>
      <c r="M92" s="667"/>
      <c r="N92" s="1115"/>
      <c r="O92" s="667"/>
      <c r="P92" s="667"/>
      <c r="Q92" s="668"/>
    </row>
    <row r="93" spans="1:18" s="2" customFormat="1" ht="39.950000000000003" customHeight="1" x14ac:dyDescent="0.25">
      <c r="A93" s="10"/>
      <c r="B93" s="1448" t="s">
        <v>217</v>
      </c>
      <c r="C93" s="1449"/>
      <c r="D93" s="1003"/>
      <c r="E93" s="119" t="e">
        <f>I18</f>
        <v>#N/A</v>
      </c>
      <c r="F93" s="120" t="str">
        <f>F19</f>
        <v>mL</v>
      </c>
      <c r="G93" s="121" t="e">
        <f>O18</f>
        <v>#N/A</v>
      </c>
      <c r="H93" s="119" t="e">
        <f>+E93/G93</f>
        <v>#N/A</v>
      </c>
      <c r="I93" s="120" t="str">
        <f>F93</f>
        <v>mL</v>
      </c>
      <c r="J93" s="122" t="e">
        <f>D36</f>
        <v>#N/A</v>
      </c>
      <c r="K93" s="120"/>
      <c r="L93" s="123" t="e">
        <f>H93*J93</f>
        <v>#N/A</v>
      </c>
      <c r="M93" s="120" t="s">
        <v>4</v>
      </c>
      <c r="N93" s="118" t="e">
        <f>L93^2</f>
        <v>#N/A</v>
      </c>
      <c r="O93" s="39" t="s">
        <v>19</v>
      </c>
      <c r="P93" s="39" t="s">
        <v>122</v>
      </c>
      <c r="Q93" s="40">
        <v>50</v>
      </c>
      <c r="R93" s="7"/>
    </row>
    <row r="94" spans="1:18" s="37" customFormat="1" ht="39.950000000000003" customHeight="1" x14ac:dyDescent="0.25">
      <c r="B94" s="1448" t="s">
        <v>218</v>
      </c>
      <c r="C94" s="1449"/>
      <c r="D94" s="1003"/>
      <c r="E94" s="119" t="e">
        <f>E18</f>
        <v>#N/A</v>
      </c>
      <c r="F94" s="120" t="str">
        <f>F19</f>
        <v>mL</v>
      </c>
      <c r="G94" s="119">
        <f>SQRT(12)</f>
        <v>3.4641016151377544</v>
      </c>
      <c r="H94" s="119" t="e">
        <f>+E94/G94</f>
        <v>#N/A</v>
      </c>
      <c r="I94" s="120" t="str">
        <f t="shared" ref="I94" si="6">F94</f>
        <v>mL</v>
      </c>
      <c r="J94" s="122" t="e">
        <f>D36</f>
        <v>#N/A</v>
      </c>
      <c r="K94" s="120"/>
      <c r="L94" s="137" t="e">
        <f>H94*J94</f>
        <v>#N/A</v>
      </c>
      <c r="M94" s="120" t="s">
        <v>4</v>
      </c>
      <c r="N94" s="118" t="e">
        <f t="shared" ref="N94" si="7">L94^2</f>
        <v>#N/A</v>
      </c>
      <c r="O94" s="39" t="s">
        <v>19</v>
      </c>
      <c r="P94" s="39" t="s">
        <v>5</v>
      </c>
      <c r="Q94" s="40" t="s">
        <v>11</v>
      </c>
    </row>
    <row r="95" spans="1:18" s="2" customFormat="1" ht="39.950000000000003" customHeight="1" thickBot="1" x14ac:dyDescent="0.3">
      <c r="A95" s="10"/>
      <c r="B95" s="1452" t="s">
        <v>219</v>
      </c>
      <c r="C95" s="1453"/>
      <c r="D95" s="1003"/>
      <c r="E95" s="119" t="e">
        <f>K18</f>
        <v>#N/A</v>
      </c>
      <c r="F95" s="120" t="str">
        <f>F19</f>
        <v>mL</v>
      </c>
      <c r="G95" s="118" t="e">
        <f>K18</f>
        <v>#N/A</v>
      </c>
      <c r="H95" s="124" t="e">
        <f>E95/G95</f>
        <v>#N/A</v>
      </c>
      <c r="I95" s="120" t="str">
        <f>F95</f>
        <v>mL</v>
      </c>
      <c r="J95" s="122" t="e">
        <f>D36</f>
        <v>#N/A</v>
      </c>
      <c r="K95" s="120"/>
      <c r="L95" s="122" t="e">
        <f t="shared" ref="L95" si="8">H95*J95</f>
        <v>#N/A</v>
      </c>
      <c r="M95" s="120" t="s">
        <v>4</v>
      </c>
      <c r="N95" s="118" t="e">
        <f>L95^2</f>
        <v>#N/A</v>
      </c>
      <c r="O95" s="39" t="s">
        <v>19</v>
      </c>
      <c r="P95" s="39" t="s">
        <v>5</v>
      </c>
      <c r="Q95" s="40" t="s">
        <v>11</v>
      </c>
      <c r="R95" s="7"/>
    </row>
    <row r="96" spans="1:18" s="2" customFormat="1" ht="5.0999999999999996" customHeight="1" thickBot="1" x14ac:dyDescent="0.3">
      <c r="A96" s="10"/>
      <c r="B96" s="1005"/>
      <c r="C96" s="1006"/>
      <c r="D96" s="125"/>
      <c r="E96" s="126"/>
      <c r="F96" s="127"/>
      <c r="G96" s="128"/>
      <c r="H96" s="129"/>
      <c r="I96" s="130"/>
      <c r="J96" s="131"/>
      <c r="K96" s="132"/>
      <c r="L96" s="129"/>
      <c r="M96" s="129"/>
      <c r="N96" s="132"/>
      <c r="O96" s="129"/>
      <c r="P96" s="129"/>
      <c r="Q96" s="133"/>
      <c r="R96" s="7"/>
    </row>
    <row r="97" spans="1:90" s="2" customFormat="1" ht="39.950000000000003" customHeight="1" x14ac:dyDescent="0.25">
      <c r="A97" s="10"/>
      <c r="B97" s="1450" t="s">
        <v>124</v>
      </c>
      <c r="C97" s="1451"/>
      <c r="D97" s="1102" t="e">
        <f>D47</f>
        <v>#N/A</v>
      </c>
      <c r="E97" s="134" t="e">
        <f>D47</f>
        <v>#N/A</v>
      </c>
      <c r="F97" s="117" t="s">
        <v>3</v>
      </c>
      <c r="G97" s="667"/>
      <c r="H97" s="667"/>
      <c r="I97" s="667"/>
      <c r="J97" s="135"/>
      <c r="K97" s="667"/>
      <c r="L97" s="667"/>
      <c r="M97" s="667"/>
      <c r="N97" s="1115"/>
      <c r="O97" s="667"/>
      <c r="P97" s="667"/>
      <c r="Q97" s="668"/>
      <c r="R97" s="7"/>
    </row>
    <row r="98" spans="1:90" s="2" customFormat="1" ht="39.950000000000003" customHeight="1" x14ac:dyDescent="0.25">
      <c r="A98" s="10"/>
      <c r="B98" s="1448" t="s">
        <v>125</v>
      </c>
      <c r="C98" s="1449"/>
      <c r="D98" s="1102" t="e">
        <f>E10</f>
        <v>#N/A</v>
      </c>
      <c r="E98" s="38" t="e">
        <f>E9</f>
        <v>#N/A</v>
      </c>
      <c r="F98" s="117" t="s">
        <v>3</v>
      </c>
      <c r="G98" s="38">
        <f>SQRT(12)</f>
        <v>3.4641016151377544</v>
      </c>
      <c r="H98" s="38" t="e">
        <f>E98/G98</f>
        <v>#N/A</v>
      </c>
      <c r="I98" s="253" t="s">
        <v>3</v>
      </c>
      <c r="J98" s="122" t="e">
        <f>K68</f>
        <v>#N/A</v>
      </c>
      <c r="K98" s="39" t="s">
        <v>21</v>
      </c>
      <c r="L98" s="38" t="e">
        <f t="shared" ref="L98:L111" si="9">H98*J98</f>
        <v>#N/A</v>
      </c>
      <c r="M98" s="39" t="s">
        <v>4</v>
      </c>
      <c r="N98" s="118" t="e">
        <f t="shared" ref="N98:N111" si="10">L98^2</f>
        <v>#N/A</v>
      </c>
      <c r="O98" s="39" t="s">
        <v>20</v>
      </c>
      <c r="P98" s="39" t="s">
        <v>5</v>
      </c>
      <c r="Q98" s="40" t="s">
        <v>11</v>
      </c>
      <c r="R98" s="7"/>
    </row>
    <row r="99" spans="1:90" s="37" customFormat="1" ht="39.950000000000003" customHeight="1" x14ac:dyDescent="0.25">
      <c r="B99" s="1448" t="s">
        <v>126</v>
      </c>
      <c r="C99" s="1449"/>
      <c r="D99" s="1003"/>
      <c r="E99" s="134" t="e">
        <f>MAX(I8:I12)</f>
        <v>#N/A</v>
      </c>
      <c r="F99" s="117" t="str">
        <f>F14</f>
        <v>°C</v>
      </c>
      <c r="G99" s="38" t="e">
        <f>O9</f>
        <v>#N/A</v>
      </c>
      <c r="H99" s="38" t="e">
        <f t="shared" ref="H99:H111" si="11">E99/G99</f>
        <v>#N/A</v>
      </c>
      <c r="I99" s="253" t="s">
        <v>3</v>
      </c>
      <c r="J99" s="122" t="e">
        <f>K68</f>
        <v>#N/A</v>
      </c>
      <c r="K99" s="39" t="s">
        <v>21</v>
      </c>
      <c r="L99" s="38" t="e">
        <f t="shared" si="9"/>
        <v>#N/A</v>
      </c>
      <c r="M99" s="39" t="s">
        <v>4</v>
      </c>
      <c r="N99" s="118" t="e">
        <f t="shared" si="10"/>
        <v>#N/A</v>
      </c>
      <c r="O99" s="39" t="s">
        <v>19</v>
      </c>
      <c r="P99" s="39" t="s">
        <v>122</v>
      </c>
      <c r="Q99" s="40">
        <v>50</v>
      </c>
    </row>
    <row r="100" spans="1:90" s="2" customFormat="1" ht="39.950000000000003" customHeight="1" x14ac:dyDescent="0.25">
      <c r="A100" s="10"/>
      <c r="B100" s="1448" t="s">
        <v>123</v>
      </c>
      <c r="C100" s="1449"/>
      <c r="D100" s="1003"/>
      <c r="E100" s="136" t="e">
        <f>K9</f>
        <v>#N/A</v>
      </c>
      <c r="F100" s="117" t="str">
        <f>F14</f>
        <v>°C</v>
      </c>
      <c r="G100" s="38">
        <f>SQRT(3)</f>
        <v>1.7320508075688772</v>
      </c>
      <c r="H100" s="38" t="e">
        <f t="shared" si="11"/>
        <v>#N/A</v>
      </c>
      <c r="I100" s="253" t="s">
        <v>3</v>
      </c>
      <c r="J100" s="122" t="e">
        <f>K68</f>
        <v>#N/A</v>
      </c>
      <c r="K100" s="39" t="s">
        <v>21</v>
      </c>
      <c r="L100" s="38" t="e">
        <f t="shared" si="9"/>
        <v>#N/A</v>
      </c>
      <c r="M100" s="39" t="s">
        <v>4</v>
      </c>
      <c r="N100" s="118" t="e">
        <f t="shared" si="10"/>
        <v>#N/A</v>
      </c>
      <c r="O100" s="39" t="s">
        <v>19</v>
      </c>
      <c r="P100" s="39" t="s">
        <v>5</v>
      </c>
      <c r="Q100" s="40" t="s">
        <v>11</v>
      </c>
      <c r="R100" s="7"/>
    </row>
    <row r="101" spans="1:90" s="2" customFormat="1" ht="39.950000000000003" customHeight="1" x14ac:dyDescent="0.25">
      <c r="A101" s="10"/>
      <c r="B101" s="1448" t="s">
        <v>127</v>
      </c>
      <c r="C101" s="1449"/>
      <c r="D101" s="1003"/>
      <c r="E101" s="134" t="e">
        <f>(MAX(D44:D46)-(MIN(D44:D46)))</f>
        <v>#N/A</v>
      </c>
      <c r="F101" s="117" t="str">
        <f>F14</f>
        <v>°C</v>
      </c>
      <c r="G101" s="38">
        <f>SQRT(12)</f>
        <v>3.4641016151377544</v>
      </c>
      <c r="H101" s="38" t="e">
        <f t="shared" si="11"/>
        <v>#N/A</v>
      </c>
      <c r="I101" s="253" t="s">
        <v>3</v>
      </c>
      <c r="J101" s="122" t="e">
        <f>K68</f>
        <v>#N/A</v>
      </c>
      <c r="K101" s="39" t="s">
        <v>21</v>
      </c>
      <c r="L101" s="38" t="e">
        <f t="shared" si="9"/>
        <v>#N/A</v>
      </c>
      <c r="M101" s="39" t="s">
        <v>4</v>
      </c>
      <c r="N101" s="118" t="e">
        <f t="shared" si="10"/>
        <v>#N/A</v>
      </c>
      <c r="O101" s="39" t="s">
        <v>20</v>
      </c>
      <c r="P101" s="39" t="s">
        <v>5</v>
      </c>
      <c r="Q101" s="40" t="s">
        <v>11</v>
      </c>
      <c r="R101" s="7"/>
    </row>
    <row r="102" spans="1:90" s="2" customFormat="1" ht="39.950000000000003" customHeight="1" x14ac:dyDescent="0.25">
      <c r="A102" s="10"/>
      <c r="B102" s="1448" t="s">
        <v>128</v>
      </c>
      <c r="C102" s="1449"/>
      <c r="D102" s="1102" t="e">
        <f>J47</f>
        <v>#N/A</v>
      </c>
      <c r="E102" s="134">
        <f>M50</f>
        <v>0</v>
      </c>
      <c r="F102" s="117" t="str">
        <f>F14</f>
        <v>°C</v>
      </c>
      <c r="G102" s="667"/>
      <c r="H102" s="667"/>
      <c r="I102" s="412"/>
      <c r="J102" s="135"/>
      <c r="K102" s="667"/>
      <c r="L102" s="667"/>
      <c r="M102" s="667"/>
      <c r="N102" s="1115"/>
      <c r="O102" s="667"/>
      <c r="P102" s="667"/>
      <c r="Q102" s="668"/>
      <c r="R102" s="7"/>
    </row>
    <row r="103" spans="1:90" s="2" customFormat="1" ht="39.950000000000003" customHeight="1" x14ac:dyDescent="0.25">
      <c r="A103" s="10"/>
      <c r="B103" s="1448" t="s">
        <v>125</v>
      </c>
      <c r="C103" s="1449"/>
      <c r="D103" s="1103" t="e">
        <f>E14</f>
        <v>#N/A</v>
      </c>
      <c r="E103" s="38" t="e">
        <f>E14</f>
        <v>#N/A</v>
      </c>
      <c r="F103" s="39" t="str">
        <f>F14</f>
        <v>°C</v>
      </c>
      <c r="G103" s="38">
        <f>SQRT(12)</f>
        <v>3.4641016151377544</v>
      </c>
      <c r="H103" s="38" t="e">
        <f t="shared" si="11"/>
        <v>#N/A</v>
      </c>
      <c r="I103" s="253" t="s">
        <v>3</v>
      </c>
      <c r="J103" s="118" t="e">
        <f>K70</f>
        <v>#N/A</v>
      </c>
      <c r="K103" s="39" t="s">
        <v>21</v>
      </c>
      <c r="L103" s="38" t="e">
        <f t="shared" si="9"/>
        <v>#N/A</v>
      </c>
      <c r="M103" s="39" t="s">
        <v>4</v>
      </c>
      <c r="N103" s="118" t="e">
        <f t="shared" si="10"/>
        <v>#N/A</v>
      </c>
      <c r="O103" s="39" t="s">
        <v>20</v>
      </c>
      <c r="P103" s="39" t="s">
        <v>5</v>
      </c>
      <c r="Q103" s="40" t="s">
        <v>11</v>
      </c>
      <c r="R103" s="7"/>
    </row>
    <row r="104" spans="1:90" s="37" customFormat="1" ht="39.950000000000003" customHeight="1" x14ac:dyDescent="0.25">
      <c r="B104" s="1446" t="s">
        <v>126</v>
      </c>
      <c r="C104" s="1447"/>
      <c r="D104" s="1003"/>
      <c r="E104" s="134" t="e">
        <f>MAX(I13:I17)</f>
        <v>#N/A</v>
      </c>
      <c r="F104" s="117" t="str">
        <f>F14</f>
        <v>°C</v>
      </c>
      <c r="G104" s="38" t="e">
        <f>O14</f>
        <v>#N/A</v>
      </c>
      <c r="H104" s="38" t="e">
        <f t="shared" si="11"/>
        <v>#N/A</v>
      </c>
      <c r="I104" s="253" t="s">
        <v>3</v>
      </c>
      <c r="J104" s="118" t="e">
        <f>K70</f>
        <v>#N/A</v>
      </c>
      <c r="K104" s="39" t="s">
        <v>21</v>
      </c>
      <c r="L104" s="38" t="e">
        <f>H104*J104</f>
        <v>#N/A</v>
      </c>
      <c r="M104" s="39" t="s">
        <v>4</v>
      </c>
      <c r="N104" s="118" t="e">
        <f>L104^2</f>
        <v>#N/A</v>
      </c>
      <c r="O104" s="39" t="s">
        <v>19</v>
      </c>
      <c r="P104" s="39" t="s">
        <v>122</v>
      </c>
      <c r="Q104" s="40">
        <v>50</v>
      </c>
    </row>
    <row r="105" spans="1:90" s="2" customFormat="1" ht="39.950000000000003" customHeight="1" x14ac:dyDescent="0.25">
      <c r="A105" s="10"/>
      <c r="B105" s="1446" t="s">
        <v>123</v>
      </c>
      <c r="C105" s="1447"/>
      <c r="D105" s="1004"/>
      <c r="E105" s="136" t="e">
        <f>K15</f>
        <v>#N/A</v>
      </c>
      <c r="F105" s="117" t="str">
        <f>F14</f>
        <v>°C</v>
      </c>
      <c r="G105" s="38">
        <f>SQRT(3)</f>
        <v>1.7320508075688772</v>
      </c>
      <c r="H105" s="38" t="e">
        <f t="shared" si="11"/>
        <v>#N/A</v>
      </c>
      <c r="I105" s="253" t="s">
        <v>3</v>
      </c>
      <c r="J105" s="118" t="e">
        <f>K70</f>
        <v>#N/A</v>
      </c>
      <c r="K105" s="39" t="s">
        <v>21</v>
      </c>
      <c r="L105" s="38" t="e">
        <f t="shared" si="9"/>
        <v>#N/A</v>
      </c>
      <c r="M105" s="39" t="s">
        <v>4</v>
      </c>
      <c r="N105" s="118" t="e">
        <f t="shared" si="10"/>
        <v>#N/A</v>
      </c>
      <c r="O105" s="39" t="s">
        <v>19</v>
      </c>
      <c r="P105" s="39" t="s">
        <v>5</v>
      </c>
      <c r="Q105" s="40" t="s">
        <v>11</v>
      </c>
      <c r="R105" s="7"/>
    </row>
    <row r="106" spans="1:90" s="2" customFormat="1" ht="39.950000000000003" customHeight="1" x14ac:dyDescent="0.25">
      <c r="A106" s="10"/>
      <c r="B106" s="1446" t="s">
        <v>127</v>
      </c>
      <c r="C106" s="1447"/>
      <c r="D106" s="1002"/>
      <c r="E106" s="137" t="e">
        <f>(MAX(J44:J46)-(MIN(J44:J46)))</f>
        <v>#N/A</v>
      </c>
      <c r="F106" s="117" t="str">
        <f>F14</f>
        <v>°C</v>
      </c>
      <c r="G106" s="38">
        <f>SQRT(12)</f>
        <v>3.4641016151377544</v>
      </c>
      <c r="H106" s="38" t="e">
        <f t="shared" si="11"/>
        <v>#N/A</v>
      </c>
      <c r="I106" s="253" t="s">
        <v>3</v>
      </c>
      <c r="J106" s="118" t="e">
        <f>K70</f>
        <v>#N/A</v>
      </c>
      <c r="K106" s="39" t="s">
        <v>21</v>
      </c>
      <c r="L106" s="38" t="e">
        <f t="shared" si="9"/>
        <v>#N/A</v>
      </c>
      <c r="M106" s="39" t="s">
        <v>4</v>
      </c>
      <c r="N106" s="118" t="e">
        <f t="shared" si="10"/>
        <v>#N/A</v>
      </c>
      <c r="O106" s="39" t="s">
        <v>20</v>
      </c>
      <c r="P106" s="39" t="s">
        <v>5</v>
      </c>
      <c r="Q106" s="40" t="s">
        <v>11</v>
      </c>
      <c r="R106" s="7"/>
    </row>
    <row r="107" spans="1:90" s="2" customFormat="1" ht="39.950000000000003" customHeight="1" x14ac:dyDescent="0.25">
      <c r="A107" s="10"/>
      <c r="B107" s="1446" t="s">
        <v>193</v>
      </c>
      <c r="C107" s="1447"/>
      <c r="D107" s="1104" t="e">
        <f>D37</f>
        <v>#N/A</v>
      </c>
      <c r="E107" s="138" t="e">
        <f>D37</f>
        <v>#N/A</v>
      </c>
      <c r="F107" s="39" t="s">
        <v>10</v>
      </c>
      <c r="G107" s="667"/>
      <c r="H107" s="667"/>
      <c r="I107" s="667"/>
      <c r="J107" s="135"/>
      <c r="K107" s="667"/>
      <c r="L107" s="667"/>
      <c r="M107" s="667"/>
      <c r="N107" s="1115"/>
      <c r="O107" s="667"/>
      <c r="P107" s="667"/>
      <c r="Q107" s="668"/>
      <c r="R107" s="7"/>
    </row>
    <row r="108" spans="1:90" s="37" customFormat="1" ht="39.950000000000003" customHeight="1" x14ac:dyDescent="0.25">
      <c r="A108" s="10"/>
      <c r="B108" s="1446" t="s">
        <v>473</v>
      </c>
      <c r="C108" s="1447"/>
      <c r="D108" s="1002"/>
      <c r="E108" s="38" t="e">
        <f>(D37*B46)/100</f>
        <v>#N/A</v>
      </c>
      <c r="F108" s="39" t="s">
        <v>10</v>
      </c>
      <c r="G108" s="38">
        <f>SQRT(3)</f>
        <v>1.7320508075688772</v>
      </c>
      <c r="H108" s="38" t="e">
        <f t="shared" si="11"/>
        <v>#N/A</v>
      </c>
      <c r="I108" s="254" t="s">
        <v>344</v>
      </c>
      <c r="J108" s="118" t="e">
        <f>K76</f>
        <v>#N/A</v>
      </c>
      <c r="K108" s="1071" t="s">
        <v>346</v>
      </c>
      <c r="L108" s="38" t="e">
        <f t="shared" si="9"/>
        <v>#N/A</v>
      </c>
      <c r="M108" s="39" t="s">
        <v>4</v>
      </c>
      <c r="N108" s="118" t="e">
        <f t="shared" si="10"/>
        <v>#N/A</v>
      </c>
      <c r="O108" s="39" t="s">
        <v>129</v>
      </c>
      <c r="P108" s="39" t="s">
        <v>5</v>
      </c>
      <c r="Q108" s="40" t="s">
        <v>11</v>
      </c>
      <c r="S108" s="2"/>
    </row>
    <row r="109" spans="1:90" s="45" customFormat="1" ht="39.950000000000003" customHeight="1" x14ac:dyDescent="0.25">
      <c r="A109" s="10"/>
      <c r="B109" s="1446" t="s">
        <v>472</v>
      </c>
      <c r="C109" s="1447"/>
      <c r="D109" s="1105" t="s">
        <v>1</v>
      </c>
      <c r="E109" s="138" t="e">
        <f>(D33*B46)/100</f>
        <v>#N/A</v>
      </c>
      <c r="F109" s="39" t="s">
        <v>10</v>
      </c>
      <c r="G109" s="38">
        <f>SQRT(3)</f>
        <v>1.7320508075688772</v>
      </c>
      <c r="H109" s="38" t="e">
        <f t="shared" si="11"/>
        <v>#N/A</v>
      </c>
      <c r="I109" s="254" t="s">
        <v>344</v>
      </c>
      <c r="J109" s="134" t="e">
        <f>K72</f>
        <v>#N/A</v>
      </c>
      <c r="K109" s="1071" t="s">
        <v>346</v>
      </c>
      <c r="L109" s="38" t="e">
        <f t="shared" si="9"/>
        <v>#N/A</v>
      </c>
      <c r="M109" s="39" t="s">
        <v>4</v>
      </c>
      <c r="N109" s="118" t="e">
        <f t="shared" si="10"/>
        <v>#N/A</v>
      </c>
      <c r="O109" s="39" t="s">
        <v>130</v>
      </c>
      <c r="P109" s="39" t="s">
        <v>5</v>
      </c>
      <c r="Q109" s="40" t="s">
        <v>11</v>
      </c>
      <c r="R109" s="44"/>
      <c r="S109" s="7"/>
      <c r="T109" s="7"/>
      <c r="U109" s="7"/>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row>
    <row r="110" spans="1:90" s="37" customFormat="1" ht="39.950000000000003" customHeight="1" x14ac:dyDescent="0.25">
      <c r="B110" s="1446" t="s">
        <v>472</v>
      </c>
      <c r="C110" s="1447"/>
      <c r="D110" s="1105" t="s">
        <v>0</v>
      </c>
      <c r="E110" s="138" t="e">
        <f>(F33*B46)/100</f>
        <v>#N/A</v>
      </c>
      <c r="F110" s="39" t="s">
        <v>10</v>
      </c>
      <c r="G110" s="38">
        <f>SQRT(3)</f>
        <v>1.7320508075688772</v>
      </c>
      <c r="H110" s="38" t="e">
        <f t="shared" si="11"/>
        <v>#N/A</v>
      </c>
      <c r="I110" s="254" t="s">
        <v>344</v>
      </c>
      <c r="J110" s="134" t="e">
        <f>K74</f>
        <v>#N/A</v>
      </c>
      <c r="K110" s="1071" t="s">
        <v>346</v>
      </c>
      <c r="L110" s="38" t="e">
        <f t="shared" si="9"/>
        <v>#N/A</v>
      </c>
      <c r="M110" s="39" t="s">
        <v>4</v>
      </c>
      <c r="N110" s="118" t="e">
        <f t="shared" si="10"/>
        <v>#N/A</v>
      </c>
      <c r="O110" s="39" t="s">
        <v>131</v>
      </c>
      <c r="P110" s="39" t="s">
        <v>5</v>
      </c>
      <c r="Q110" s="40" t="s">
        <v>11</v>
      </c>
    </row>
    <row r="111" spans="1:90" s="2" customFormat="1" ht="39.950000000000003" customHeight="1" thickBot="1" x14ac:dyDescent="0.3">
      <c r="A111" s="7"/>
      <c r="B111" s="1426" t="s">
        <v>472</v>
      </c>
      <c r="C111" s="1427"/>
      <c r="D111" s="1106" t="s">
        <v>32</v>
      </c>
      <c r="E111" s="166">
        <f>((0.0000099*0.075)/(SQRT(12)))</f>
        <v>2.1434128743664856E-7</v>
      </c>
      <c r="F111" s="41" t="s">
        <v>10</v>
      </c>
      <c r="G111" s="42">
        <f>SQRT(3)</f>
        <v>1.7320508075688772</v>
      </c>
      <c r="H111" s="167">
        <f t="shared" si="11"/>
        <v>1.2375000000000001E-7</v>
      </c>
      <c r="I111" s="267" t="s">
        <v>344</v>
      </c>
      <c r="J111" s="168" t="e">
        <f>D36</f>
        <v>#N/A</v>
      </c>
      <c r="K111" s="1072" t="s">
        <v>346</v>
      </c>
      <c r="L111" s="169" t="e">
        <f t="shared" si="9"/>
        <v>#N/A</v>
      </c>
      <c r="M111" s="41" t="s">
        <v>4</v>
      </c>
      <c r="N111" s="167" t="e">
        <f t="shared" si="10"/>
        <v>#N/A</v>
      </c>
      <c r="O111" s="41" t="s">
        <v>131</v>
      </c>
      <c r="P111" s="41" t="s">
        <v>5</v>
      </c>
      <c r="Q111" s="43" t="s">
        <v>11</v>
      </c>
    </row>
    <row r="112" spans="1:90" s="2" customFormat="1" ht="30" customHeight="1" thickBot="1" x14ac:dyDescent="0.3">
      <c r="A112" s="24"/>
      <c r="R112" s="7"/>
    </row>
    <row r="113" spans="1:31" s="2" customFormat="1" ht="30" customHeight="1" thickBot="1" x14ac:dyDescent="0.3">
      <c r="A113" s="24"/>
      <c r="B113" s="1428" t="s">
        <v>132</v>
      </c>
      <c r="C113" s="1429"/>
      <c r="D113" s="1429"/>
      <c r="E113" s="1429"/>
      <c r="F113" s="1429"/>
      <c r="G113" s="1429"/>
      <c r="H113" s="1429"/>
      <c r="I113" s="1429"/>
      <c r="J113" s="1429"/>
      <c r="K113" s="1429"/>
      <c r="L113" s="1429"/>
      <c r="M113" s="1429"/>
      <c r="N113" s="1429"/>
      <c r="O113" s="1429"/>
      <c r="P113" s="1429"/>
      <c r="Q113" s="1430"/>
      <c r="R113" s="7"/>
    </row>
    <row r="114" spans="1:31" s="2" customFormat="1" ht="30" customHeight="1" x14ac:dyDescent="0.25">
      <c r="A114" s="10"/>
      <c r="B114" s="1431" t="s">
        <v>133</v>
      </c>
      <c r="C114" s="1432"/>
      <c r="D114" s="1012"/>
      <c r="E114" s="46" t="e">
        <f>(3.1416*(D34)^2/4)*D35</f>
        <v>#N/A</v>
      </c>
      <c r="F114" s="47" t="s">
        <v>4</v>
      </c>
      <c r="G114" s="46">
        <f>SQRT(3)</f>
        <v>1.7320508075688772</v>
      </c>
      <c r="H114" s="46" t="e">
        <f>E114/G114</f>
        <v>#N/A</v>
      </c>
      <c r="I114" s="47" t="s">
        <v>4</v>
      </c>
      <c r="J114" s="46">
        <v>1</v>
      </c>
      <c r="K114" s="47"/>
      <c r="L114" s="46" t="e">
        <f>H114*J114</f>
        <v>#N/A</v>
      </c>
      <c r="M114" s="47" t="s">
        <v>4</v>
      </c>
      <c r="N114" s="1116" t="e">
        <f>L114^2</f>
        <v>#N/A</v>
      </c>
      <c r="O114" s="47" t="s">
        <v>18</v>
      </c>
      <c r="P114" s="47" t="s">
        <v>5</v>
      </c>
      <c r="Q114" s="48" t="s">
        <v>11</v>
      </c>
      <c r="R114" s="7"/>
    </row>
    <row r="115" spans="1:31" s="2" customFormat="1" ht="30" customHeight="1" x14ac:dyDescent="0.25">
      <c r="B115" s="1433" t="s">
        <v>134</v>
      </c>
      <c r="C115" s="1434"/>
      <c r="D115" s="1013"/>
      <c r="E115" s="55" t="e">
        <f>((3.1416*(F34)^2)/4)*F35</f>
        <v>#N/A</v>
      </c>
      <c r="F115" s="39" t="s">
        <v>4</v>
      </c>
      <c r="G115" s="38">
        <f>SQRT(3)</f>
        <v>1.7320508075688772</v>
      </c>
      <c r="H115" s="38" t="e">
        <f>E115/G115</f>
        <v>#N/A</v>
      </c>
      <c r="I115" s="39" t="s">
        <v>4</v>
      </c>
      <c r="J115" s="38">
        <v>1</v>
      </c>
      <c r="K115" s="39"/>
      <c r="L115" s="38" t="e">
        <f>H115*J115</f>
        <v>#N/A</v>
      </c>
      <c r="M115" s="39" t="s">
        <v>4</v>
      </c>
      <c r="N115" s="118" t="e">
        <f>L115^2</f>
        <v>#N/A</v>
      </c>
      <c r="O115" s="39" t="s">
        <v>18</v>
      </c>
      <c r="P115" s="39" t="s">
        <v>5</v>
      </c>
      <c r="Q115" s="40" t="s">
        <v>11</v>
      </c>
      <c r="R115" s="7"/>
    </row>
    <row r="116" spans="1:31" s="6" customFormat="1" ht="39.950000000000003" customHeight="1" x14ac:dyDescent="0.25">
      <c r="A116" s="4"/>
      <c r="B116" s="1433" t="s">
        <v>135</v>
      </c>
      <c r="C116" s="1434"/>
      <c r="D116" s="1013"/>
      <c r="E116" s="139" t="e">
        <f>H59</f>
        <v>#N/A</v>
      </c>
      <c r="F116" s="39" t="s">
        <v>4</v>
      </c>
      <c r="G116" s="1137">
        <f>SQRT(B46)</f>
        <v>1.7320508075688772</v>
      </c>
      <c r="H116" s="118" t="e">
        <f>E116/G116</f>
        <v>#N/A</v>
      </c>
      <c r="I116" s="39" t="s">
        <v>4</v>
      </c>
      <c r="J116" s="55">
        <v>1</v>
      </c>
      <c r="K116" s="39"/>
      <c r="L116" s="38" t="e">
        <f>H116*J116</f>
        <v>#N/A</v>
      </c>
      <c r="M116" s="39" t="s">
        <v>4</v>
      </c>
      <c r="N116" s="118" t="e">
        <f>L116^2</f>
        <v>#N/A</v>
      </c>
      <c r="O116" s="39" t="s">
        <v>6</v>
      </c>
      <c r="P116" s="39" t="s">
        <v>122</v>
      </c>
      <c r="Q116" s="40">
        <f>B46-1</f>
        <v>2</v>
      </c>
      <c r="S116" s="2"/>
      <c r="T116" s="2"/>
      <c r="U116" s="2"/>
    </row>
    <row r="117" spans="1:31" s="9" customFormat="1" ht="30" customHeight="1" thickBot="1" x14ac:dyDescent="0.3">
      <c r="A117" s="67" t="s">
        <v>136</v>
      </c>
      <c r="B117" s="1435" t="s">
        <v>137</v>
      </c>
      <c r="C117" s="1436"/>
      <c r="D117" s="1014"/>
      <c r="E117" s="1073" t="e">
        <f>O66/10000</f>
        <v>#N/A</v>
      </c>
      <c r="F117" s="41" t="s">
        <v>4</v>
      </c>
      <c r="G117" s="1073">
        <f>SQRT(3)</f>
        <v>1.7320508075688772</v>
      </c>
      <c r="H117" s="42" t="e">
        <f>E117/G117</f>
        <v>#N/A</v>
      </c>
      <c r="I117" s="41" t="s">
        <v>4</v>
      </c>
      <c r="J117" s="42">
        <v>1</v>
      </c>
      <c r="K117" s="41"/>
      <c r="L117" s="42" t="e">
        <f>H117*J117</f>
        <v>#N/A</v>
      </c>
      <c r="M117" s="41" t="s">
        <v>4</v>
      </c>
      <c r="N117" s="167" t="e">
        <f>L117^2</f>
        <v>#N/A</v>
      </c>
      <c r="O117" s="41" t="s">
        <v>138</v>
      </c>
      <c r="P117" s="41" t="s">
        <v>5</v>
      </c>
      <c r="Q117" s="43" t="s">
        <v>11</v>
      </c>
      <c r="R117" s="50"/>
      <c r="S117" s="2"/>
      <c r="T117" s="2"/>
      <c r="U117" s="2"/>
    </row>
    <row r="118" spans="1:31" s="9" customFormat="1" ht="45.75" customHeight="1" thickBot="1" x14ac:dyDescent="0.3">
      <c r="A118" s="10"/>
      <c r="L118" s="1015"/>
      <c r="M118" s="1016"/>
      <c r="N118" s="303" t="e">
        <f>SQRT(SUM(N89:N90,N93:N95,N98:N101,N103:N106,N108:N110,N111,N114,N115,N116,N117,))</f>
        <v>#N/A</v>
      </c>
      <c r="R118" s="50"/>
      <c r="S118" s="2"/>
      <c r="T118" s="2"/>
      <c r="U118" s="2"/>
      <c r="V118" s="49"/>
      <c r="W118" s="49"/>
    </row>
    <row r="119" spans="1:31" s="9" customFormat="1" ht="41.25" customHeight="1" thickBot="1" x14ac:dyDescent="0.3">
      <c r="A119" s="10"/>
      <c r="B119" s="1417" t="s">
        <v>140</v>
      </c>
      <c r="C119" s="1418"/>
      <c r="D119" s="1418"/>
      <c r="E119" s="1418"/>
      <c r="F119" s="1418"/>
      <c r="G119" s="1418"/>
      <c r="H119" s="1418"/>
      <c r="I119" s="1418"/>
      <c r="J119" s="1419"/>
      <c r="K119" s="10"/>
      <c r="L119" s="1420" t="s">
        <v>139</v>
      </c>
      <c r="M119" s="1421"/>
      <c r="N119" s="304" t="e">
        <f>E121*N118</f>
        <v>#N/A</v>
      </c>
      <c r="O119" s="10"/>
      <c r="P119" s="10"/>
      <c r="R119" s="50"/>
      <c r="S119" s="2"/>
      <c r="T119" s="2"/>
      <c r="U119" s="2"/>
      <c r="V119" s="49"/>
      <c r="W119" s="49"/>
    </row>
    <row r="120" spans="1:31" s="2" customFormat="1" ht="34.5" customHeight="1" thickBot="1" x14ac:dyDescent="0.3">
      <c r="A120" s="7"/>
      <c r="B120" s="1058"/>
      <c r="C120" s="1059" t="s">
        <v>141</v>
      </c>
      <c r="D120" s="290" t="s">
        <v>142</v>
      </c>
      <c r="E120" s="290" t="s">
        <v>113</v>
      </c>
      <c r="F120" s="290" t="s">
        <v>7</v>
      </c>
      <c r="G120" s="290" t="s">
        <v>370</v>
      </c>
      <c r="H120" s="290" t="s">
        <v>8</v>
      </c>
      <c r="I120" s="290" t="s">
        <v>143</v>
      </c>
      <c r="J120" s="291" t="s">
        <v>144</v>
      </c>
      <c r="K120" s="51"/>
      <c r="L120" s="1422" t="s">
        <v>17</v>
      </c>
      <c r="M120" s="1423"/>
      <c r="N120" s="302" t="e">
        <f>(N118^4)/((L89^4/Q89)+(L99^4/Q99)+(L104^4/Q104)+(L93^4/Q93)+(L116^4/Q116))</f>
        <v>#N/A</v>
      </c>
      <c r="O120" s="10"/>
    </row>
    <row r="121" spans="1:31" s="2" customFormat="1" ht="30" customHeight="1" thickBot="1" x14ac:dyDescent="0.3">
      <c r="A121" s="7"/>
      <c r="B121" s="1050" t="s">
        <v>4</v>
      </c>
      <c r="C121" s="1060" t="e">
        <f>H58</f>
        <v>#N/A</v>
      </c>
      <c r="D121" s="1053" t="e">
        <f>N118</f>
        <v>#N/A</v>
      </c>
      <c r="E121" s="1437">
        <v>2</v>
      </c>
      <c r="F121" s="687" t="e">
        <f>(D121*E121)</f>
        <v>#N/A</v>
      </c>
      <c r="G121" s="1440">
        <v>95</v>
      </c>
      <c r="H121" s="685" t="e">
        <f>C121-C7</f>
        <v>#N/A</v>
      </c>
      <c r="I121" s="410" t="e">
        <f>ABS(H121)</f>
        <v>#N/A</v>
      </c>
      <c r="J121" s="433" t="e">
        <f>F121*I121</f>
        <v>#N/A</v>
      </c>
      <c r="K121" s="52"/>
      <c r="O121" s="7"/>
    </row>
    <row r="122" spans="1:31" s="2" customFormat="1" ht="30" customHeight="1" thickBot="1" x14ac:dyDescent="0.3">
      <c r="A122" s="7"/>
      <c r="B122" s="1051" t="s">
        <v>423</v>
      </c>
      <c r="C122" s="1061" t="e">
        <f>C121/L30</f>
        <v>#N/A</v>
      </c>
      <c r="D122" s="1054" t="e">
        <f>D121/L30</f>
        <v>#N/A</v>
      </c>
      <c r="E122" s="1438"/>
      <c r="F122" s="424" t="e">
        <f>D122*E121</f>
        <v>#N/A</v>
      </c>
      <c r="G122" s="1441"/>
      <c r="H122" s="292" t="e">
        <f>H121/L30</f>
        <v>#N/A</v>
      </c>
      <c r="I122" s="308" t="e">
        <f>ABS(H122)</f>
        <v>#N/A</v>
      </c>
      <c r="J122" s="309" t="e">
        <f>F122*I122</f>
        <v>#N/A</v>
      </c>
      <c r="K122" s="7"/>
      <c r="M122" s="1424" t="s">
        <v>113</v>
      </c>
      <c r="N122" s="1425"/>
      <c r="O122" s="7"/>
      <c r="P122" s="710">
        <v>0.3</v>
      </c>
      <c r="Q122" s="710">
        <v>1.65</v>
      </c>
    </row>
    <row r="123" spans="1:31" s="10" customFormat="1" ht="36.75" customHeight="1" thickBot="1" x14ac:dyDescent="0.3">
      <c r="B123" s="1051" t="s">
        <v>9</v>
      </c>
      <c r="C123" s="1055" t="e">
        <f>C122/L27</f>
        <v>#N/A</v>
      </c>
      <c r="D123" s="1056" t="e">
        <f>D122/L27</f>
        <v>#N/A</v>
      </c>
      <c r="E123" s="1438"/>
      <c r="F123" s="688" t="e">
        <f>D123*E121</f>
        <v>#N/A</v>
      </c>
      <c r="G123" s="1441"/>
      <c r="H123" s="686" t="e">
        <f>H122/L27</f>
        <v>#N/A</v>
      </c>
      <c r="I123" s="683" t="e">
        <f>ABS(H123)</f>
        <v>#N/A</v>
      </c>
      <c r="J123" s="684" t="e">
        <f>F123*I123</f>
        <v>#N/A</v>
      </c>
      <c r="M123" s="708" t="e">
        <f>_xlfn.T.INV.2T(0.05,N120)</f>
        <v>#N/A</v>
      </c>
      <c r="N123" s="709" t="e">
        <f>TINV(0.05,N120)</f>
        <v>#N/A</v>
      </c>
      <c r="P123" s="1443" t="s">
        <v>429</v>
      </c>
      <c r="Q123" s="1444"/>
      <c r="R123" s="1445"/>
      <c r="S123" s="2"/>
      <c r="T123" s="2"/>
      <c r="U123" s="2"/>
      <c r="V123" s="53"/>
      <c r="W123" s="53"/>
      <c r="X123" s="53"/>
      <c r="Y123" s="53"/>
      <c r="Z123" s="53"/>
      <c r="AA123" s="53"/>
    </row>
    <row r="124" spans="1:31" s="2" customFormat="1" ht="42" customHeight="1" thickBot="1" x14ac:dyDescent="0.3">
      <c r="A124" s="7"/>
      <c r="B124" s="1052" t="s">
        <v>336</v>
      </c>
      <c r="C124" s="1057" t="e">
        <f>(C121*100)/C7</f>
        <v>#N/A</v>
      </c>
      <c r="D124" s="689" t="e">
        <f>(D123/M27)</f>
        <v>#N/A</v>
      </c>
      <c r="E124" s="1439"/>
      <c r="F124" s="691" t="e">
        <f>(D124*E121)</f>
        <v>#N/A</v>
      </c>
      <c r="G124" s="1442"/>
      <c r="H124" s="690" t="e">
        <f>(H123*100)/M27</f>
        <v>#N/A</v>
      </c>
      <c r="I124" s="411" t="e">
        <f>(I123*100)/M27</f>
        <v>#N/A</v>
      </c>
      <c r="J124" s="689" t="e">
        <f>(J123*100)/M27</f>
        <v>#N/A</v>
      </c>
      <c r="K124" s="7"/>
      <c r="L124" s="7"/>
      <c r="M124" s="904" t="s">
        <v>418</v>
      </c>
      <c r="N124" s="905" t="e">
        <f>MAX(N89:N111,N114:N117)</f>
        <v>#N/A</v>
      </c>
      <c r="O124" s="906" t="e">
        <f>IF((N125)&lt;=(P122),"1,65","k=2")</f>
        <v>#N/A</v>
      </c>
      <c r="P124" s="908" t="s">
        <v>424</v>
      </c>
      <c r="Q124" s="909" t="s">
        <v>425</v>
      </c>
      <c r="R124" s="910" t="s">
        <v>426</v>
      </c>
      <c r="V124" s="1560"/>
      <c r="W124" s="1560"/>
      <c r="X124" s="1560"/>
      <c r="Y124" s="9"/>
      <c r="Z124" s="9"/>
      <c r="AA124" s="9"/>
      <c r="AB124" s="9"/>
      <c r="AC124" s="9"/>
      <c r="AD124" s="9"/>
      <c r="AE124" s="9"/>
    </row>
    <row r="125" spans="1:31" s="2" customFormat="1" ht="30" customHeight="1" thickBot="1" x14ac:dyDescent="0.3">
      <c r="C125" s="306"/>
      <c r="D125" s="307"/>
      <c r="E125" s="305"/>
      <c r="K125" s="10"/>
      <c r="L125" s="10"/>
      <c r="M125" s="906" t="s">
        <v>428</v>
      </c>
      <c r="N125" s="907" t="e">
        <f>(SQRT(SUM(N90,N93:N95,N98:N101,N103:N106,N108:N110,N111,N114,N115,N116,N117,)))/N124</f>
        <v>#N/A</v>
      </c>
      <c r="O125" s="176"/>
      <c r="P125" s="911" t="s">
        <v>424</v>
      </c>
      <c r="Q125" s="912" t="s">
        <v>430</v>
      </c>
      <c r="R125" s="913" t="s">
        <v>427</v>
      </c>
      <c r="V125" s="1559"/>
      <c r="W125" s="1559"/>
      <c r="X125" s="1559"/>
    </row>
  </sheetData>
  <sheetProtection password="CF7A" sheet="1" objects="1" scenarios="1"/>
  <mergeCells count="137">
    <mergeCell ref="A1:B1"/>
    <mergeCell ref="D1:R1"/>
    <mergeCell ref="D3:E3"/>
    <mergeCell ref="G3:H3"/>
    <mergeCell ref="J3:K3"/>
    <mergeCell ref="M3:N3"/>
    <mergeCell ref="P3:R3"/>
    <mergeCell ref="A5:R5"/>
    <mergeCell ref="Q6:R6"/>
    <mergeCell ref="A8:A12"/>
    <mergeCell ref="A13:A17"/>
    <mergeCell ref="B19:B20"/>
    <mergeCell ref="C19:C20"/>
    <mergeCell ref="D19:D20"/>
    <mergeCell ref="E19:E20"/>
    <mergeCell ref="F19:F20"/>
    <mergeCell ref="G19:G20"/>
    <mergeCell ref="N19:N20"/>
    <mergeCell ref="O19:O20"/>
    <mergeCell ref="P19:P20"/>
    <mergeCell ref="S19:S20"/>
    <mergeCell ref="B24:G24"/>
    <mergeCell ref="I24:R24"/>
    <mergeCell ref="H19:H20"/>
    <mergeCell ref="I19:I20"/>
    <mergeCell ref="J19:J20"/>
    <mergeCell ref="K19:K20"/>
    <mergeCell ref="L19:L20"/>
    <mergeCell ref="M19:M20"/>
    <mergeCell ref="Q25:Q26"/>
    <mergeCell ref="R25:R26"/>
    <mergeCell ref="B26:C26"/>
    <mergeCell ref="D26:E26"/>
    <mergeCell ref="F26:G26"/>
    <mergeCell ref="D25:E25"/>
    <mergeCell ref="F25:G25"/>
    <mergeCell ref="I25:I26"/>
    <mergeCell ref="J25:J26"/>
    <mergeCell ref="K25:K26"/>
    <mergeCell ref="L25:L26"/>
    <mergeCell ref="B27:C27"/>
    <mergeCell ref="D27:E27"/>
    <mergeCell ref="F27:G27"/>
    <mergeCell ref="B28:C28"/>
    <mergeCell ref="D28:E28"/>
    <mergeCell ref="F28:G28"/>
    <mergeCell ref="M25:M26"/>
    <mergeCell ref="O25:O26"/>
    <mergeCell ref="P25:P26"/>
    <mergeCell ref="K33:L33"/>
    <mergeCell ref="N33:O33"/>
    <mergeCell ref="P33:Q33"/>
    <mergeCell ref="B34:C34"/>
    <mergeCell ref="B35:C35"/>
    <mergeCell ref="I35:P35"/>
    <mergeCell ref="B29:C29"/>
    <mergeCell ref="B30:C30"/>
    <mergeCell ref="B31:C31"/>
    <mergeCell ref="B32:C32"/>
    <mergeCell ref="B33:C33"/>
    <mergeCell ref="I33:J33"/>
    <mergeCell ref="I38:J38"/>
    <mergeCell ref="L38:M38"/>
    <mergeCell ref="B39:C39"/>
    <mergeCell ref="D39:G39"/>
    <mergeCell ref="I39:J39"/>
    <mergeCell ref="L39:M39"/>
    <mergeCell ref="B36:C36"/>
    <mergeCell ref="I36:K36"/>
    <mergeCell ref="L36:N36"/>
    <mergeCell ref="B37:C37"/>
    <mergeCell ref="I37:J37"/>
    <mergeCell ref="L37:M37"/>
    <mergeCell ref="E56:F56"/>
    <mergeCell ref="O56:O57"/>
    <mergeCell ref="E57:F57"/>
    <mergeCell ref="E58:G58"/>
    <mergeCell ref="E59:G59"/>
    <mergeCell ref="E60:G60"/>
    <mergeCell ref="B41:N41"/>
    <mergeCell ref="Q41:Y41"/>
    <mergeCell ref="B42:G42"/>
    <mergeCell ref="I42:N42"/>
    <mergeCell ref="E53:L53"/>
    <mergeCell ref="E54:F54"/>
    <mergeCell ref="O54:O55"/>
    <mergeCell ref="E55:F55"/>
    <mergeCell ref="B76:F76"/>
    <mergeCell ref="B78:D78"/>
    <mergeCell ref="B80:D80"/>
    <mergeCell ref="B82:D82"/>
    <mergeCell ref="B86:Q86"/>
    <mergeCell ref="B87:C87"/>
    <mergeCell ref="B64:L64"/>
    <mergeCell ref="B66:D66"/>
    <mergeCell ref="B68:E68"/>
    <mergeCell ref="B70:E70"/>
    <mergeCell ref="B72:F72"/>
    <mergeCell ref="B74:F74"/>
    <mergeCell ref="B93:C93"/>
    <mergeCell ref="B94:C94"/>
    <mergeCell ref="B95:C95"/>
    <mergeCell ref="B97:C97"/>
    <mergeCell ref="B98:C98"/>
    <mergeCell ref="B99:C99"/>
    <mergeCell ref="B88:C88"/>
    <mergeCell ref="B89:C89"/>
    <mergeCell ref="A90:A91"/>
    <mergeCell ref="B90:C90"/>
    <mergeCell ref="B91:C91"/>
    <mergeCell ref="B92:C92"/>
    <mergeCell ref="B106:C106"/>
    <mergeCell ref="B107:C107"/>
    <mergeCell ref="B108:C108"/>
    <mergeCell ref="B109:C109"/>
    <mergeCell ref="B110:C110"/>
    <mergeCell ref="B111:C111"/>
    <mergeCell ref="B100:C100"/>
    <mergeCell ref="B101:C101"/>
    <mergeCell ref="B102:C102"/>
    <mergeCell ref="B103:C103"/>
    <mergeCell ref="B104:C104"/>
    <mergeCell ref="B105:C105"/>
    <mergeCell ref="V125:X125"/>
    <mergeCell ref="L120:M120"/>
    <mergeCell ref="E121:E124"/>
    <mergeCell ref="G121:G124"/>
    <mergeCell ref="M122:N122"/>
    <mergeCell ref="P123:R123"/>
    <mergeCell ref="V124:X124"/>
    <mergeCell ref="B113:Q113"/>
    <mergeCell ref="B114:C114"/>
    <mergeCell ref="B115:C115"/>
    <mergeCell ref="B116:C116"/>
    <mergeCell ref="B117:C117"/>
    <mergeCell ref="B119:J119"/>
    <mergeCell ref="L119:M119"/>
  </mergeCells>
  <pageMargins left="0.70866141732283472" right="0.70866141732283472" top="0.74803149606299213" bottom="0.74803149606299213" header="0.31496062992125984" footer="0.31496062992125984"/>
  <pageSetup scale="26" orientation="portrait" horizontalDpi="4294967293" r:id="rId1"/>
  <headerFooter>
    <oddFooter>&amp;RRT03-F11 Vr.6 (2019-11-07)</oddFooter>
  </headerFooter>
  <rowBreaks count="1" manualBreakCount="1">
    <brk id="60" max="24" man="1"/>
  </rowBreaks>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DATOS°!$C$30:$C$32</xm:f>
          </x14:formula1>
          <xm:sqref>S7</xm:sqref>
        </x14:dataValidation>
        <x14:dataValidation type="list" allowBlank="1" showInputMessage="1" showErrorMessage="1">
          <x14:formula1>
            <xm:f>DATOS°!$C$112:$C$117</xm:f>
          </x14:formula1>
          <xm:sqref>S18</xm:sqref>
        </x14:dataValidation>
        <x14:dataValidation type="list" allowBlank="1" showInputMessage="1" showErrorMessage="1">
          <x14:formula1>
            <xm:f>DATOS°!$C$121:$C$127</xm:f>
          </x14:formula1>
          <xm:sqref>S19:S20</xm:sqref>
        </x14:dataValidation>
        <x14:dataValidation type="list" allowBlank="1" showInputMessage="1" showErrorMessage="1">
          <x14:formula1>
            <xm:f>DATOS°!$C$131:$C$132</xm:f>
          </x14:formula1>
          <xm:sqref>S21</xm:sqref>
        </x14:dataValidation>
        <x14:dataValidation type="list" allowBlank="1" showInputMessage="1" showErrorMessage="1">
          <x14:formula1>
            <xm:f>DATOS°!$C$137:$C$152</xm:f>
          </x14:formula1>
          <xm:sqref>S22</xm:sqref>
        </x14:dataValidation>
        <x14:dataValidation type="list" allowBlank="1" showInputMessage="1" showErrorMessage="1">
          <x14:formula1>
            <xm:f>DATOS°!$B$24:$B$26</xm:f>
          </x14:formula1>
          <xm:sqref>A26</xm:sqref>
        </x14:dataValidation>
        <x14:dataValidation type="list" allowBlank="1" showInputMessage="1" showErrorMessage="1">
          <x14:formula1>
            <xm:f>DATOS°!$D$7:$D$9</xm:f>
          </x14:formula1>
          <xm:sqref>S3</xm:sqref>
        </x14:dataValidation>
        <x14:dataValidation type="list" allowBlank="1" showInputMessage="1" showErrorMessage="1">
          <x14:formula1>
            <xm:f>DATOS°!$B$14:$B$16</xm:f>
          </x14:formula1>
          <xm:sqref>H26</xm:sqref>
        </x14:dataValidation>
        <x14:dataValidation type="list" allowBlank="1" showInputMessage="1" showErrorMessage="1">
          <x14:formula1>
            <xm:f>DATOS°!$B$162:$B$167</xm:f>
          </x14:formula1>
          <xm:sqref>Q36</xm:sqref>
        </x14:dataValidation>
        <x14:dataValidation type="list" allowBlank="1" showInputMessage="1" showErrorMessage="1">
          <x14:formula1>
            <xm:f>DATOS°!$P$9:$P$13</xm:f>
          </x14:formula1>
          <xm:sqref>H39</xm:sqref>
        </x14:dataValidation>
        <x14:dataValidation type="list" allowBlank="1" showInputMessage="1" showErrorMessage="1">
          <x14:formula1>
            <xm:f>DATOS°!$C$37:$C$42</xm:f>
          </x14:formula1>
          <xm:sqref>S13:S17</xm:sqref>
        </x14:dataValidation>
        <x14:dataValidation type="list" allowBlank="1" showInputMessage="1" showErrorMessage="1">
          <x14:formula1>
            <xm:f>DATOS°!$C$43:$C$48</xm:f>
          </x14:formula1>
          <xm:sqref>S8:S12</xm:sqref>
        </x14:dataValidation>
        <x14:dataValidation type="list" allowBlank="1" showInputMessage="1" showErrorMessage="1">
          <x14:formula1>
            <xm:f>DATOS°!$A$45:$A$46</xm:f>
          </x14:formula1>
          <xm:sqref>A43</xm:sqref>
        </x14:dataValidation>
        <x14:dataValidation type="list" allowBlank="1" showInputMessage="1" showErrorMessage="1">
          <x14:formula1>
            <xm:f>DATOS°!$A$39:$A$40</xm:f>
          </x14:formula1>
          <xm:sqref>O43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AC61"/>
  <sheetViews>
    <sheetView showGridLines="0" view="pageBreakPreview" topLeftCell="A50" zoomScale="80" zoomScaleNormal="25" zoomScaleSheetLayoutView="80" zoomScalePageLayoutView="10" workbookViewId="0">
      <selection activeCell="P11" sqref="P11"/>
    </sheetView>
  </sheetViews>
  <sheetFormatPr baseColWidth="10" defaultColWidth="15.7109375" defaultRowHeight="15" x14ac:dyDescent="0.2"/>
  <cols>
    <col min="1" max="7" width="15.7109375" style="77"/>
    <col min="8" max="10" width="15.85546875" style="77" bestFit="1" customWidth="1"/>
    <col min="11" max="11" width="16" style="77" bestFit="1" customWidth="1"/>
    <col min="12" max="16384" width="15.7109375" style="77"/>
  </cols>
  <sheetData>
    <row r="1" spans="1:29" s="175" customFormat="1" ht="75" customHeight="1" thickBot="1" x14ac:dyDescent="0.3">
      <c r="A1" s="1633"/>
      <c r="B1" s="1634"/>
      <c r="C1" s="173"/>
      <c r="D1" s="1648" t="s">
        <v>343</v>
      </c>
      <c r="E1" s="1649"/>
      <c r="F1" s="1649"/>
      <c r="G1" s="1649"/>
      <c r="H1" s="1649"/>
      <c r="I1" s="1649"/>
      <c r="J1" s="1649"/>
      <c r="K1" s="1649"/>
      <c r="L1" s="1649"/>
      <c r="M1" s="1649"/>
      <c r="N1" s="1649"/>
      <c r="O1" s="1649"/>
      <c r="P1" s="1649"/>
      <c r="Q1" s="1649"/>
      <c r="R1" s="1649"/>
      <c r="S1" s="1649"/>
      <c r="T1" s="1649"/>
      <c r="U1" s="1649"/>
      <c r="V1" s="1649"/>
      <c r="W1" s="1650"/>
    </row>
    <row r="2" spans="1:29" s="178" customFormat="1" ht="5.0999999999999996" customHeight="1" thickBot="1" x14ac:dyDescent="0.3">
      <c r="A2" s="717"/>
      <c r="B2" s="717"/>
      <c r="C2" s="176"/>
      <c r="D2" s="177"/>
      <c r="E2" s="177"/>
      <c r="F2" s="177"/>
      <c r="G2" s="177"/>
      <c r="H2" s="177"/>
      <c r="I2" s="177"/>
      <c r="J2" s="177"/>
      <c r="K2" s="177"/>
      <c r="L2" s="177"/>
      <c r="M2" s="177"/>
      <c r="N2" s="177"/>
      <c r="O2" s="177"/>
      <c r="P2" s="177"/>
      <c r="Q2" s="177"/>
      <c r="R2" s="177"/>
    </row>
    <row r="3" spans="1:29" s="178" customFormat="1" ht="39.950000000000003" customHeight="1" thickBot="1" x14ac:dyDescent="0.3">
      <c r="A3" s="61" t="s">
        <v>53</v>
      </c>
      <c r="B3" s="149" t="e">
        <f>VLOOKUP(S3,DATOS°!D7:N19,2,FALSE)</f>
        <v>#N/A</v>
      </c>
      <c r="C3" s="62" t="s">
        <v>198</v>
      </c>
      <c r="D3" s="1641" t="e">
        <f>VLOOKUP(S3,DATOS°!D7:N19,3,FALSE)</f>
        <v>#N/A</v>
      </c>
      <c r="E3" s="1641"/>
      <c r="F3" s="63" t="s">
        <v>380</v>
      </c>
      <c r="G3" s="1543" t="e">
        <f>VLOOKUP(S3,DATOS°!D7:N19,7,FALSE)</f>
        <v>#N/A</v>
      </c>
      <c r="H3" s="1543"/>
      <c r="I3" s="63" t="s">
        <v>199</v>
      </c>
      <c r="J3" s="1543" t="e">
        <f>VLOOKUP(S3,DATOS°!D7:N19,4,FALSE)</f>
        <v>#N/A</v>
      </c>
      <c r="K3" s="1543"/>
      <c r="L3" s="63" t="s">
        <v>30</v>
      </c>
      <c r="M3" s="725" t="e">
        <f>VLOOKUP(S3,DATOS°!D7:N19,6,FALSE)</f>
        <v>#N/A</v>
      </c>
      <c r="N3" s="725"/>
      <c r="O3" s="63" t="s">
        <v>200</v>
      </c>
      <c r="P3" s="1543" t="e">
        <f>VLOOKUP(S3,DATOS°!D7:N19,11,FALSE)</f>
        <v>#N/A</v>
      </c>
      <c r="Q3" s="1543"/>
      <c r="R3" s="1544"/>
      <c r="S3" s="148"/>
    </row>
    <row r="4" spans="1:29" s="176" customFormat="1" ht="39.950000000000003" customHeight="1" x14ac:dyDescent="0.25">
      <c r="C4" s="723"/>
    </row>
    <row r="5" spans="1:29" ht="39.950000000000003" customHeight="1" thickBot="1" x14ac:dyDescent="0.25">
      <c r="A5" s="179"/>
      <c r="H5" s="176"/>
      <c r="J5" s="176"/>
      <c r="P5" s="174"/>
      <c r="Q5" s="174"/>
      <c r="R5" s="174"/>
      <c r="S5" s="174"/>
      <c r="T5" s="174"/>
      <c r="U5" s="174"/>
      <c r="V5" s="174"/>
      <c r="X5" s="174"/>
      <c r="Y5" s="174"/>
      <c r="Z5" s="174"/>
      <c r="AA5" s="174"/>
      <c r="AB5" s="180"/>
      <c r="AC5" s="174"/>
    </row>
    <row r="6" spans="1:29" ht="39.950000000000003" customHeight="1" thickBot="1" x14ac:dyDescent="0.25">
      <c r="A6" s="1454" t="s">
        <v>297</v>
      </c>
      <c r="B6" s="1455"/>
      <c r="C6" s="1455"/>
      <c r="D6" s="1455"/>
      <c r="E6" s="1455"/>
      <c r="F6" s="1455"/>
      <c r="G6" s="1456"/>
      <c r="H6" s="1512" t="s">
        <v>83</v>
      </c>
      <c r="I6" s="1513"/>
      <c r="J6" s="1514"/>
      <c r="K6" s="1515"/>
      <c r="L6" s="1635" t="s">
        <v>145</v>
      </c>
      <c r="M6" s="1636"/>
      <c r="N6" s="1636"/>
      <c r="O6" s="1636"/>
      <c r="P6" s="1637"/>
      <c r="Q6" s="1642" t="s">
        <v>146</v>
      </c>
      <c r="R6" s="1643"/>
      <c r="S6" s="1643"/>
      <c r="T6" s="1643"/>
      <c r="U6" s="1643"/>
      <c r="V6" s="1644"/>
      <c r="W6" s="174"/>
      <c r="X6" s="174"/>
      <c r="Y6" s="174"/>
      <c r="Z6" s="174"/>
      <c r="AA6" s="174"/>
      <c r="AB6" s="180"/>
      <c r="AC6" s="174"/>
    </row>
    <row r="7" spans="1:29" ht="39.950000000000003" customHeight="1" thickBot="1" x14ac:dyDescent="0.25">
      <c r="A7" s="105" t="s">
        <v>187</v>
      </c>
      <c r="B7" s="181" t="s">
        <v>292</v>
      </c>
      <c r="C7" s="182" t="s">
        <v>293</v>
      </c>
      <c r="D7" s="150" t="s">
        <v>294</v>
      </c>
      <c r="E7" s="150" t="s">
        <v>295</v>
      </c>
      <c r="F7" s="183" t="s">
        <v>296</v>
      </c>
      <c r="G7" s="184" t="s">
        <v>113</v>
      </c>
      <c r="H7" s="1482" t="s">
        <v>210</v>
      </c>
      <c r="I7" s="1483"/>
      <c r="J7" s="726" t="e">
        <f>VLOOKUP(K7,DATOS°!$P$9:$Q$13,2,FALSE)</f>
        <v>#N/A</v>
      </c>
      <c r="K7" s="148"/>
      <c r="L7" s="1638"/>
      <c r="M7" s="1639"/>
      <c r="N7" s="1639"/>
      <c r="O7" s="1639"/>
      <c r="P7" s="1640"/>
      <c r="Q7" s="1645"/>
      <c r="R7" s="1646"/>
      <c r="S7" s="1646"/>
      <c r="T7" s="1646"/>
      <c r="U7" s="1646"/>
      <c r="V7" s="1647"/>
      <c r="X7" s="185"/>
      <c r="Y7" s="185"/>
      <c r="Z7" s="185"/>
      <c r="AA7" s="185"/>
      <c r="AB7" s="186"/>
      <c r="AC7" s="185"/>
    </row>
    <row r="8" spans="1:29" ht="39.950000000000003" customHeight="1" thickBot="1" x14ac:dyDescent="0.25">
      <c r="A8" s="187" t="e">
        <f>'RT03-F11° '!B19:B19</f>
        <v>#N/A</v>
      </c>
      <c r="B8" s="188" t="e">
        <f>'RT03-F11° '!Q20</f>
        <v>#N/A</v>
      </c>
      <c r="C8" s="189" t="e">
        <f>'RT03-F11° '!C19</f>
        <v>#N/A</v>
      </c>
      <c r="D8" s="190" t="e">
        <f>'RT03-F11° '!E19</f>
        <v>#N/A</v>
      </c>
      <c r="E8" s="532" t="e">
        <f>'RT03-F11° '!G19</f>
        <v>#N/A</v>
      </c>
      <c r="F8" s="191" t="e">
        <f>'RT03-F11° '!I19</f>
        <v>#N/A</v>
      </c>
      <c r="G8" s="192" t="e">
        <f>'RT03-F11° '!O19</f>
        <v>#N/A</v>
      </c>
      <c r="H8" s="1457" t="s">
        <v>84</v>
      </c>
      <c r="I8" s="1516"/>
      <c r="J8" s="1517"/>
      <c r="K8" s="1518"/>
      <c r="L8" s="193"/>
      <c r="M8" s="194"/>
      <c r="N8" s="194"/>
      <c r="O8" s="194"/>
      <c r="P8" s="194"/>
      <c r="Q8" s="1593" t="s">
        <v>486</v>
      </c>
      <c r="R8" s="1607" t="s">
        <v>288</v>
      </c>
      <c r="S8" s="1607" t="s">
        <v>487</v>
      </c>
      <c r="T8" s="1607" t="s">
        <v>488</v>
      </c>
      <c r="U8" s="1607" t="s">
        <v>289</v>
      </c>
      <c r="V8" s="1610" t="s">
        <v>290</v>
      </c>
      <c r="W8" s="174"/>
      <c r="X8" s="174"/>
      <c r="Y8" s="174"/>
      <c r="Z8" s="174"/>
      <c r="AA8" s="174"/>
      <c r="AB8" s="180"/>
      <c r="AC8" s="174"/>
    </row>
    <row r="9" spans="1:29" ht="39.950000000000003" customHeight="1" thickBot="1" x14ac:dyDescent="0.25">
      <c r="A9" s="179"/>
      <c r="D9" s="179"/>
      <c r="E9" s="531"/>
      <c r="F9" s="179"/>
      <c r="L9" s="195"/>
      <c r="M9" s="196"/>
      <c r="N9" s="196"/>
      <c r="O9" s="196"/>
      <c r="P9" s="78"/>
      <c r="Q9" s="1594"/>
      <c r="R9" s="1608"/>
      <c r="S9" s="1608"/>
      <c r="T9" s="1608"/>
      <c r="U9" s="1608"/>
      <c r="V9" s="1611"/>
      <c r="AC9" s="174"/>
    </row>
    <row r="10" spans="1:29" ht="39.950000000000003" customHeight="1" thickBot="1" x14ac:dyDescent="0.25">
      <c r="A10" s="179"/>
      <c r="B10" s="1602" t="s">
        <v>262</v>
      </c>
      <c r="C10" s="1603"/>
      <c r="D10" s="1603"/>
      <c r="E10" s="1604"/>
      <c r="F10" s="196"/>
      <c r="H10" s="1602" t="s">
        <v>291</v>
      </c>
      <c r="I10" s="1604"/>
      <c r="L10" s="195"/>
      <c r="M10" s="196"/>
      <c r="N10" s="196"/>
      <c r="O10" s="196"/>
      <c r="P10" s="196"/>
      <c r="Q10" s="1594"/>
      <c r="R10" s="1608"/>
      <c r="S10" s="1609"/>
      <c r="T10" s="1609"/>
      <c r="U10" s="1609"/>
      <c r="V10" s="1612"/>
      <c r="AC10" s="174"/>
    </row>
    <row r="11" spans="1:29" ht="39.950000000000003" customHeight="1" thickBot="1" x14ac:dyDescent="0.4">
      <c r="A11" s="179"/>
      <c r="B11" s="1598" t="s">
        <v>256</v>
      </c>
      <c r="C11" s="1599"/>
      <c r="D11" s="1600" t="s">
        <v>147</v>
      </c>
      <c r="E11" s="1601"/>
      <c r="F11" s="179"/>
      <c r="H11" s="197" t="s">
        <v>254</v>
      </c>
      <c r="I11" s="198" t="s">
        <v>4</v>
      </c>
      <c r="L11" s="199" t="s">
        <v>172</v>
      </c>
      <c r="M11" s="196"/>
      <c r="N11" s="196"/>
      <c r="O11" s="200" t="s">
        <v>148</v>
      </c>
      <c r="P11" s="196"/>
      <c r="Q11" s="1605" t="e">
        <f>B8</f>
        <v>#N/A</v>
      </c>
      <c r="R11" s="1591" t="e">
        <f>C8</f>
        <v>#N/A</v>
      </c>
      <c r="S11" s="279"/>
      <c r="T11" s="201" t="e">
        <f>M19</f>
        <v>#N/A</v>
      </c>
      <c r="U11" s="201" t="e">
        <f>($R$11-T11)</f>
        <v>#N/A</v>
      </c>
      <c r="V11" s="202" t="e">
        <f>U11/$D$12</f>
        <v>#N/A</v>
      </c>
      <c r="AC11" s="185"/>
    </row>
    <row r="12" spans="1:29" ht="39.950000000000003" customHeight="1" thickBot="1" x14ac:dyDescent="0.3">
      <c r="A12" s="179"/>
      <c r="B12" s="203">
        <f>VLOOKUP(F12,DATOS°!$P$111:$R$115,2,FALSE)</f>
        <v>0.5</v>
      </c>
      <c r="C12" s="204"/>
      <c r="D12" s="205">
        <f>VLOOKUP(F12,DATOS°!$P$111:$R$115,3,FALSE)</f>
        <v>40</v>
      </c>
      <c r="E12" s="206"/>
      <c r="F12" s="283" t="s">
        <v>538</v>
      </c>
      <c r="H12" s="207" t="s">
        <v>257</v>
      </c>
      <c r="I12" s="208">
        <f>I13/2</f>
        <v>8.1935300000000009</v>
      </c>
      <c r="L12" s="199" t="s">
        <v>149</v>
      </c>
      <c r="M12" s="200"/>
      <c r="N12" s="200" t="s">
        <v>148</v>
      </c>
      <c r="O12" s="200"/>
      <c r="P12" s="196"/>
      <c r="Q12" s="1605"/>
      <c r="R12" s="1591"/>
      <c r="S12" s="279"/>
      <c r="T12" s="201" t="e">
        <f>M20</f>
        <v>#N/A</v>
      </c>
      <c r="U12" s="201" t="e">
        <f>($R$11-T12)</f>
        <v>#N/A</v>
      </c>
      <c r="V12" s="202" t="e">
        <f>U12/$D$12</f>
        <v>#N/A</v>
      </c>
      <c r="AC12" s="186"/>
    </row>
    <row r="13" spans="1:29" ht="39.950000000000003" customHeight="1" thickBot="1" x14ac:dyDescent="0.4">
      <c r="A13" s="179"/>
      <c r="F13" s="196"/>
      <c r="H13" s="207" t="s">
        <v>258</v>
      </c>
      <c r="I13" s="208">
        <v>16.387060000000002</v>
      </c>
      <c r="L13" s="209" t="s">
        <v>173</v>
      </c>
      <c r="M13" s="210" t="s">
        <v>148</v>
      </c>
      <c r="N13" s="211"/>
      <c r="O13" s="211"/>
      <c r="P13" s="212" t="s">
        <v>150</v>
      </c>
      <c r="Q13" s="1606"/>
      <c r="R13" s="1592"/>
      <c r="S13" s="280"/>
      <c r="T13" s="213" t="e">
        <f>M21</f>
        <v>#N/A</v>
      </c>
      <c r="U13" s="213" t="e">
        <f>($R$11-T13)</f>
        <v>#N/A</v>
      </c>
      <c r="V13" s="214" t="e">
        <f>U13/$D$12</f>
        <v>#N/A</v>
      </c>
      <c r="AC13" s="186"/>
    </row>
    <row r="14" spans="1:29" s="196" customFormat="1" ht="39.950000000000003" customHeight="1" thickBot="1" x14ac:dyDescent="0.4">
      <c r="L14" s="79"/>
      <c r="M14" s="215" t="s">
        <v>250</v>
      </c>
      <c r="N14" s="215" t="s">
        <v>150</v>
      </c>
      <c r="O14" s="215" t="s">
        <v>251</v>
      </c>
      <c r="P14" s="80"/>
      <c r="T14" s="216" t="s">
        <v>261</v>
      </c>
      <c r="U14" s="217" t="e">
        <f>AVERAGE(U11:U13)</f>
        <v>#N/A</v>
      </c>
      <c r="V14" s="218" t="e">
        <f>AVERAGE(V11:V13)</f>
        <v>#N/A</v>
      </c>
      <c r="AC14" s="174"/>
    </row>
    <row r="15" spans="1:29" ht="39.950000000000003" customHeight="1" thickBot="1" x14ac:dyDescent="0.25">
      <c r="A15" s="179"/>
      <c r="D15" s="179"/>
      <c r="E15" s="179"/>
      <c r="F15" s="179"/>
      <c r="R15" s="179"/>
      <c r="S15" s="179"/>
      <c r="T15" s="219"/>
      <c r="U15" s="213" t="e">
        <f>STDEVA(U11:U13)</f>
        <v>#N/A</v>
      </c>
      <c r="V15" s="220" t="e">
        <f>_xlfn.STDEV.S(V11:V13)</f>
        <v>#N/A</v>
      </c>
      <c r="AC15" s="221"/>
    </row>
    <row r="16" spans="1:29" ht="39.950000000000003" customHeight="1" thickBot="1" x14ac:dyDescent="0.25">
      <c r="A16" s="179"/>
      <c r="T16" s="222"/>
      <c r="U16" s="213" t="e">
        <f>U15/SQRT(3)</f>
        <v>#N/A</v>
      </c>
      <c r="V16" s="223" t="e">
        <f>V15/SQRT(3)</f>
        <v>#N/A</v>
      </c>
      <c r="AC16" s="224"/>
    </row>
    <row r="17" spans="1:29" ht="39.950000000000003" customHeight="1" thickBot="1" x14ac:dyDescent="0.25">
      <c r="A17" s="179"/>
      <c r="B17" s="1623" t="s">
        <v>419</v>
      </c>
      <c r="C17" s="1624"/>
      <c r="D17" s="1624"/>
      <c r="E17" s="1624"/>
      <c r="F17" s="1625"/>
      <c r="G17" s="1582" t="s">
        <v>491</v>
      </c>
      <c r="H17" s="1583"/>
      <c r="I17" s="1583"/>
      <c r="J17" s="1583"/>
      <c r="K17" s="1584"/>
      <c r="T17" s="179"/>
      <c r="U17" s="179"/>
      <c r="V17" s="179"/>
      <c r="AC17" s="225"/>
    </row>
    <row r="18" spans="1:29" ht="39.950000000000003" customHeight="1" thickBot="1" x14ac:dyDescent="0.25">
      <c r="A18" s="179"/>
      <c r="B18" s="226" t="s">
        <v>75</v>
      </c>
      <c r="C18" s="227" t="s">
        <v>157</v>
      </c>
      <c r="D18" s="227" t="s">
        <v>158</v>
      </c>
      <c r="E18" s="227" t="s">
        <v>159</v>
      </c>
      <c r="F18" s="295" t="s">
        <v>160</v>
      </c>
      <c r="G18" s="713" t="s">
        <v>68</v>
      </c>
      <c r="H18" s="249" t="s">
        <v>49</v>
      </c>
      <c r="I18" s="249" t="s">
        <v>50</v>
      </c>
      <c r="J18" s="249" t="s">
        <v>252</v>
      </c>
      <c r="K18" s="507" t="s">
        <v>76</v>
      </c>
      <c r="L18" s="718" t="s">
        <v>287</v>
      </c>
      <c r="M18" s="249" t="s">
        <v>151</v>
      </c>
      <c r="N18" s="508" t="s">
        <v>152</v>
      </c>
      <c r="O18" s="228" t="e">
        <f>(O21-O20)/(N21-N20)</f>
        <v>#N/A</v>
      </c>
      <c r="P18" s="196"/>
      <c r="Q18" s="229"/>
      <c r="R18" s="211"/>
      <c r="U18" s="516"/>
      <c r="V18" s="517" t="e">
        <f>AVERAGE(S11:S13)</f>
        <v>#DIV/0!</v>
      </c>
      <c r="AC18" s="225"/>
    </row>
    <row r="19" spans="1:29" s="196" customFormat="1" ht="49.5" customHeight="1" x14ac:dyDescent="0.2">
      <c r="B19" s="230" t="s">
        <v>489</v>
      </c>
      <c r="C19" s="281"/>
      <c r="D19" s="281"/>
      <c r="E19" s="281"/>
      <c r="F19" s="296" t="e">
        <f>AVERAGE(C19:E19)</f>
        <v>#DIV/0!</v>
      </c>
      <c r="G19" s="504" t="s">
        <v>82</v>
      </c>
      <c r="H19" s="672">
        <v>3.7854100000000002</v>
      </c>
      <c r="I19" s="672">
        <f>(H19/H21)*1000</f>
        <v>3785.4100000000003</v>
      </c>
      <c r="J19" s="672">
        <f>(I19*I22)/I20</f>
        <v>230.99994751956731</v>
      </c>
      <c r="K19" s="673">
        <v>5</v>
      </c>
      <c r="L19" s="505">
        <f>S11</f>
        <v>0</v>
      </c>
      <c r="M19" s="506" t="e">
        <f>($O$21+$O$18*(L19-$N$21))</f>
        <v>#N/A</v>
      </c>
      <c r="N19" s="664" t="s">
        <v>153</v>
      </c>
      <c r="O19" s="664" t="s">
        <v>154</v>
      </c>
      <c r="P19" s="498" t="s">
        <v>155</v>
      </c>
      <c r="Q19" s="1617" t="s">
        <v>156</v>
      </c>
      <c r="R19" s="1617"/>
      <c r="S19" s="1618"/>
      <c r="U19" s="518"/>
      <c r="V19" s="519">
        <f>(I13/10)/SQRT(3)</f>
        <v>0.94610735022265502</v>
      </c>
    </row>
    <row r="20" spans="1:29" s="196" customFormat="1" ht="39.950000000000003" customHeight="1" thickBot="1" x14ac:dyDescent="0.25">
      <c r="B20" s="207" t="s">
        <v>161</v>
      </c>
      <c r="C20" s="428"/>
      <c r="D20" s="282"/>
      <c r="E20" s="282"/>
      <c r="F20" s="297" t="e">
        <f>AVERAGE(C20:E20)</f>
        <v>#DIV/0!</v>
      </c>
      <c r="G20" s="231" t="s">
        <v>252</v>
      </c>
      <c r="H20" s="294">
        <v>1.6387059999999998E-2</v>
      </c>
      <c r="I20" s="294">
        <f>(H20/H21)*I21</f>
        <v>16.387059999999998</v>
      </c>
      <c r="J20" s="294">
        <v>1</v>
      </c>
      <c r="K20" s="674">
        <f>J19*K19</f>
        <v>1154.9997375978367</v>
      </c>
      <c r="L20" s="499">
        <f t="shared" ref="L20:L21" si="0">S12</f>
        <v>0</v>
      </c>
      <c r="M20" s="201" t="e">
        <f>($O$21+$O$18*(L20-$N$21))</f>
        <v>#N/A</v>
      </c>
      <c r="N20" s="497" t="e">
        <f>'RT03-F11° '!Q19</f>
        <v>#N/A</v>
      </c>
      <c r="O20" s="497" t="e">
        <f>'RT03-F11° '!R19</f>
        <v>#N/A</v>
      </c>
      <c r="P20" s="500" t="e">
        <f>(O20-N20)</f>
        <v>#N/A</v>
      </c>
      <c r="Q20" s="1619"/>
      <c r="R20" s="1619"/>
      <c r="S20" s="1620"/>
      <c r="U20" s="520"/>
      <c r="V20" s="223">
        <f>(I13/10)/SQRT(3)</f>
        <v>0.94610735022265502</v>
      </c>
    </row>
    <row r="21" spans="1:29" s="196" customFormat="1" ht="39.950000000000003" customHeight="1" thickBot="1" x14ac:dyDescent="0.25">
      <c r="B21" s="233" t="s">
        <v>490</v>
      </c>
      <c r="C21" s="234" t="e">
        <f>F19-F20</f>
        <v>#DIV/0!</v>
      </c>
      <c r="D21" s="235"/>
      <c r="E21" s="236"/>
      <c r="F21" s="236"/>
      <c r="G21" s="231" t="s">
        <v>162</v>
      </c>
      <c r="H21" s="294">
        <v>1</v>
      </c>
      <c r="I21" s="294">
        <v>1000</v>
      </c>
      <c r="J21" s="294">
        <f>H20</f>
        <v>1.6387059999999998E-2</v>
      </c>
      <c r="K21" s="674">
        <f>K19*H19</f>
        <v>18.927050000000001</v>
      </c>
      <c r="L21" s="501">
        <f t="shared" si="0"/>
        <v>0</v>
      </c>
      <c r="M21" s="213" t="e">
        <f>($O$21+$O$18*(L21-$N$21))</f>
        <v>#N/A</v>
      </c>
      <c r="N21" s="502" t="e">
        <f>'RT03-F11° '!Q20</f>
        <v>#N/A</v>
      </c>
      <c r="O21" s="502" t="e">
        <f>'RT03-F11° '!R20</f>
        <v>#N/A</v>
      </c>
      <c r="P21" s="503" t="e">
        <f>(O21-N21)</f>
        <v>#N/A</v>
      </c>
      <c r="Q21" s="1621" t="e">
        <f>ABS(P21-P20)/12^0.5</f>
        <v>#N/A</v>
      </c>
      <c r="R21" s="1621"/>
      <c r="S21" s="1622"/>
    </row>
    <row r="22" spans="1:29" s="196" customFormat="1" ht="39.950000000000003" customHeight="1" thickBot="1" x14ac:dyDescent="0.25">
      <c r="B22" s="237" t="s">
        <v>253</v>
      </c>
      <c r="C22" s="238" t="e">
        <f>I13*((F19-F20)/((SQRT(12)*F19)))</f>
        <v>#DIV/0!</v>
      </c>
      <c r="D22" s="239"/>
      <c r="E22" s="240"/>
      <c r="F22" s="240"/>
      <c r="G22" s="232" t="s">
        <v>163</v>
      </c>
      <c r="H22" s="675">
        <v>1E-3</v>
      </c>
      <c r="I22" s="675">
        <v>1</v>
      </c>
      <c r="J22" s="675">
        <f>I20</f>
        <v>16.387059999999998</v>
      </c>
      <c r="K22" s="676">
        <f>K19*I19</f>
        <v>18927.050000000003</v>
      </c>
    </row>
    <row r="23" spans="1:29" s="196" customFormat="1" ht="39.950000000000003" customHeight="1" thickBot="1" x14ac:dyDescent="0.25">
      <c r="B23" s="241"/>
      <c r="D23" s="177"/>
      <c r="E23" s="177"/>
      <c r="F23" s="242"/>
    </row>
    <row r="24" spans="1:29" s="196" customFormat="1" ht="39.950000000000003" customHeight="1" thickBot="1" x14ac:dyDescent="0.25">
      <c r="B24" s="1602" t="s">
        <v>104</v>
      </c>
      <c r="C24" s="1603"/>
      <c r="D24" s="1603"/>
      <c r="E24" s="1603"/>
      <c r="F24" s="1603"/>
      <c r="G24" s="1603"/>
      <c r="H24" s="1603"/>
      <c r="I24" s="1603"/>
      <c r="J24" s="1603"/>
      <c r="K24" s="1603"/>
      <c r="L24" s="1604"/>
    </row>
    <row r="25" spans="1:29" s="175" customFormat="1" ht="39.950000000000003" customHeight="1" thickBot="1" x14ac:dyDescent="0.3">
      <c r="A25" s="178"/>
      <c r="B25" s="954"/>
      <c r="C25" s="955"/>
      <c r="D25" s="955"/>
      <c r="E25" s="955"/>
      <c r="F25" s="955"/>
      <c r="G25" s="955"/>
      <c r="H25" s="955"/>
      <c r="I25" s="955"/>
      <c r="J25" s="955"/>
      <c r="K25" s="956" t="s">
        <v>105</v>
      </c>
      <c r="L25" s="957" t="s">
        <v>68</v>
      </c>
    </row>
    <row r="26" spans="1:29" s="176" customFormat="1" ht="39.950000000000003" customHeight="1" thickBot="1" x14ac:dyDescent="0.3">
      <c r="B26" s="965" t="s">
        <v>164</v>
      </c>
      <c r="C26" s="966"/>
      <c r="D26" s="966"/>
      <c r="E26" s="966"/>
      <c r="F26" s="966"/>
      <c r="G26" s="967"/>
      <c r="H26" s="967"/>
      <c r="I26" s="967"/>
      <c r="J26" s="968"/>
      <c r="K26" s="963">
        <f>1/(D12)</f>
        <v>2.5000000000000001E-2</v>
      </c>
      <c r="L26" s="964" t="s">
        <v>4</v>
      </c>
    </row>
    <row r="27" spans="1:29" s="175" customFormat="1" ht="5.0999999999999996" customHeight="1" thickBot="1" x14ac:dyDescent="0.3">
      <c r="A27" s="176"/>
      <c r="B27" s="246"/>
      <c r="C27" s="247"/>
      <c r="D27" s="247"/>
      <c r="E27" s="247"/>
      <c r="F27" s="247"/>
      <c r="G27" s="176"/>
      <c r="H27" s="176"/>
      <c r="I27" s="176"/>
      <c r="J27" s="176"/>
      <c r="K27" s="958"/>
      <c r="L27" s="961"/>
    </row>
    <row r="28" spans="1:29" s="176" customFormat="1" ht="39.950000000000003" customHeight="1" thickBot="1" x14ac:dyDescent="0.3">
      <c r="B28" s="965" t="s">
        <v>165</v>
      </c>
      <c r="C28" s="966"/>
      <c r="D28" s="966"/>
      <c r="E28" s="966"/>
      <c r="F28" s="966"/>
      <c r="G28" s="967"/>
      <c r="H28" s="967"/>
      <c r="I28" s="967"/>
      <c r="J28" s="968"/>
      <c r="K28" s="963">
        <f>-1/(D12)</f>
        <v>-2.5000000000000001E-2</v>
      </c>
      <c r="L28" s="964" t="s">
        <v>4</v>
      </c>
    </row>
    <row r="29" spans="1:29" s="175" customFormat="1" ht="5.0999999999999996" customHeight="1" thickBot="1" x14ac:dyDescent="0.3">
      <c r="A29" s="176"/>
      <c r="B29" s="246"/>
      <c r="C29" s="247"/>
      <c r="D29" s="247"/>
      <c r="E29" s="247"/>
      <c r="F29" s="247"/>
      <c r="G29" s="176"/>
      <c r="H29" s="176"/>
      <c r="I29" s="176"/>
      <c r="J29" s="176"/>
      <c r="K29" s="958"/>
      <c r="L29" s="962"/>
    </row>
    <row r="30" spans="1:29" s="176" customFormat="1" ht="39.950000000000003" customHeight="1" thickBot="1" x14ac:dyDescent="0.3">
      <c r="B30" s="965" t="s">
        <v>165</v>
      </c>
      <c r="C30" s="966"/>
      <c r="D30" s="966"/>
      <c r="E30" s="966"/>
      <c r="F30" s="966"/>
      <c r="G30" s="967"/>
      <c r="H30" s="967"/>
      <c r="I30" s="967"/>
      <c r="J30" s="968"/>
      <c r="K30" s="963">
        <f>1/(D12)</f>
        <v>2.5000000000000001E-2</v>
      </c>
      <c r="L30" s="964" t="s">
        <v>4</v>
      </c>
    </row>
    <row r="31" spans="1:29" s="175" customFormat="1" ht="5.0999999999999996" customHeight="1" thickBot="1" x14ac:dyDescent="0.3">
      <c r="A31" s="176"/>
      <c r="B31" s="248"/>
      <c r="C31" s="247"/>
      <c r="D31" s="247"/>
      <c r="E31" s="247"/>
      <c r="F31" s="247"/>
      <c r="G31" s="176"/>
      <c r="H31" s="176"/>
      <c r="I31" s="176"/>
      <c r="J31" s="176"/>
      <c r="K31" s="959"/>
      <c r="L31" s="962"/>
      <c r="M31" s="717"/>
      <c r="N31" s="176"/>
      <c r="O31" s="176"/>
      <c r="P31" s="176"/>
      <c r="Q31" s="176"/>
      <c r="R31" s="178"/>
    </row>
    <row r="32" spans="1:29" s="176" customFormat="1" ht="39.950000000000003" customHeight="1" thickBot="1" x14ac:dyDescent="0.3">
      <c r="B32" s="965" t="s">
        <v>165</v>
      </c>
      <c r="C32" s="966"/>
      <c r="D32" s="966"/>
      <c r="E32" s="966"/>
      <c r="F32" s="966"/>
      <c r="G32" s="967"/>
      <c r="H32" s="967"/>
      <c r="I32" s="967"/>
      <c r="J32" s="968"/>
      <c r="K32" s="963">
        <f>K30</f>
        <v>2.5000000000000001E-2</v>
      </c>
      <c r="L32" s="964" t="s">
        <v>4</v>
      </c>
    </row>
    <row r="33" spans="1:18" s="175" customFormat="1" ht="5.0999999999999996" customHeight="1" thickBot="1" x14ac:dyDescent="0.3">
      <c r="A33" s="176"/>
      <c r="B33" s="246"/>
      <c r="C33" s="247"/>
      <c r="D33" s="247"/>
      <c r="E33" s="247"/>
      <c r="F33" s="247"/>
      <c r="G33" s="176"/>
      <c r="H33" s="176"/>
      <c r="I33" s="176"/>
      <c r="J33" s="176"/>
      <c r="K33" s="959"/>
      <c r="L33" s="962"/>
      <c r="M33" s="717"/>
      <c r="N33" s="176"/>
      <c r="O33" s="176"/>
      <c r="P33" s="176"/>
      <c r="Q33" s="176"/>
      <c r="R33" s="178"/>
    </row>
    <row r="34" spans="1:18" s="176" customFormat="1" ht="39.950000000000003" customHeight="1" thickBot="1" x14ac:dyDescent="0.3">
      <c r="B34" s="965" t="s">
        <v>165</v>
      </c>
      <c r="C34" s="966"/>
      <c r="D34" s="966"/>
      <c r="E34" s="966"/>
      <c r="F34" s="966"/>
      <c r="G34" s="967"/>
      <c r="H34" s="967"/>
      <c r="I34" s="967"/>
      <c r="J34" s="968"/>
      <c r="K34" s="963">
        <v>1</v>
      </c>
      <c r="L34" s="964" t="s">
        <v>4</v>
      </c>
    </row>
    <row r="35" spans="1:18" s="175" customFormat="1" ht="5.0999999999999996" customHeight="1" thickBot="1" x14ac:dyDescent="0.3">
      <c r="A35" s="176"/>
      <c r="B35" s="243"/>
      <c r="C35" s="176"/>
      <c r="D35" s="176"/>
      <c r="E35" s="176"/>
      <c r="F35" s="176"/>
      <c r="G35" s="176"/>
      <c r="H35" s="176"/>
      <c r="I35" s="176"/>
      <c r="J35" s="176"/>
      <c r="K35" s="960"/>
      <c r="L35" s="939"/>
      <c r="M35" s="717"/>
      <c r="N35" s="176"/>
      <c r="O35" s="176"/>
      <c r="P35" s="176"/>
      <c r="Q35" s="176"/>
      <c r="R35" s="178"/>
    </row>
    <row r="36" spans="1:18" s="176" customFormat="1" ht="39.950000000000003" customHeight="1" thickBot="1" x14ac:dyDescent="0.3">
      <c r="B36" s="965" t="s">
        <v>165</v>
      </c>
      <c r="C36" s="966"/>
      <c r="D36" s="966"/>
      <c r="E36" s="966"/>
      <c r="F36" s="966"/>
      <c r="G36" s="967"/>
      <c r="H36" s="967"/>
      <c r="I36" s="967"/>
      <c r="J36" s="968"/>
      <c r="K36" s="963">
        <v>1</v>
      </c>
      <c r="L36" s="964" t="s">
        <v>4</v>
      </c>
    </row>
    <row r="37" spans="1:18" s="178" customFormat="1" ht="39.950000000000003" customHeight="1" x14ac:dyDescent="0.25">
      <c r="A37" s="176"/>
      <c r="M37" s="717"/>
    </row>
    <row r="38" spans="1:18" s="176" customFormat="1" ht="39.950000000000003" customHeight="1" thickBot="1" x14ac:dyDescent="0.3">
      <c r="R38" s="244"/>
    </row>
    <row r="39" spans="1:18" s="175" customFormat="1" ht="39.950000000000003" customHeight="1" thickBot="1" x14ac:dyDescent="0.3">
      <c r="B39" s="1602" t="s">
        <v>110</v>
      </c>
      <c r="C39" s="1603"/>
      <c r="D39" s="1603"/>
      <c r="E39" s="1603"/>
      <c r="F39" s="1603"/>
      <c r="G39" s="1603"/>
      <c r="H39" s="1603"/>
      <c r="I39" s="1603"/>
      <c r="J39" s="1603"/>
      <c r="K39" s="1603"/>
      <c r="L39" s="1603"/>
      <c r="M39" s="1603"/>
      <c r="N39" s="1603"/>
      <c r="O39" s="1603"/>
      <c r="P39" s="1603"/>
      <c r="Q39" s="1604"/>
    </row>
    <row r="40" spans="1:18" s="175" customFormat="1" ht="39.950000000000003" customHeight="1" thickBot="1" x14ac:dyDescent="0.3">
      <c r="A40" s="178"/>
      <c r="B40" s="1457" t="s">
        <v>263</v>
      </c>
      <c r="C40" s="1458"/>
      <c r="D40" s="249" t="s">
        <v>264</v>
      </c>
      <c r="E40" s="249" t="s">
        <v>265</v>
      </c>
      <c r="F40" s="249" t="s">
        <v>68</v>
      </c>
      <c r="G40" s="249" t="s">
        <v>113</v>
      </c>
      <c r="H40" s="249" t="s">
        <v>474</v>
      </c>
      <c r="I40" s="249"/>
      <c r="J40" s="249" t="s">
        <v>475</v>
      </c>
      <c r="K40" s="249"/>
      <c r="L40" s="714" t="s">
        <v>266</v>
      </c>
      <c r="M40" s="249" t="s">
        <v>68</v>
      </c>
      <c r="N40" s="714" t="s">
        <v>166</v>
      </c>
      <c r="O40" s="249" t="s">
        <v>117</v>
      </c>
      <c r="P40" s="249" t="s">
        <v>267</v>
      </c>
      <c r="Q40" s="250" t="s">
        <v>476</v>
      </c>
    </row>
    <row r="41" spans="1:18" s="176" customFormat="1" ht="39.950000000000003" customHeight="1" thickBot="1" x14ac:dyDescent="0.3">
      <c r="B41" s="251"/>
      <c r="C41" s="177"/>
      <c r="D41" s="177"/>
      <c r="E41" s="177"/>
      <c r="F41" s="177"/>
      <c r="G41" s="177"/>
      <c r="H41" s="177"/>
      <c r="I41" s="177"/>
      <c r="J41" s="177"/>
      <c r="K41" s="177"/>
      <c r="L41" s="177"/>
      <c r="M41" s="177"/>
      <c r="N41" s="177"/>
      <c r="O41" s="177"/>
      <c r="P41" s="177"/>
      <c r="Q41" s="245"/>
    </row>
    <row r="42" spans="1:18" s="175" customFormat="1" ht="39.950000000000003" customHeight="1" thickBot="1" x14ac:dyDescent="0.3">
      <c r="A42" s="1628"/>
      <c r="B42" s="1626" t="s">
        <v>477</v>
      </c>
      <c r="C42" s="1627"/>
      <c r="D42" s="1110" t="e">
        <f>U14</f>
        <v>#N/A</v>
      </c>
      <c r="E42" s="252"/>
      <c r="F42" s="969" t="s">
        <v>4</v>
      </c>
      <c r="G42" s="954"/>
      <c r="H42" s="955"/>
      <c r="I42" s="955"/>
      <c r="J42" s="955"/>
      <c r="K42" s="955"/>
      <c r="L42" s="955"/>
      <c r="M42" s="955"/>
      <c r="N42" s="955"/>
      <c r="O42" s="955"/>
      <c r="P42" s="955"/>
      <c r="Q42" s="173"/>
      <c r="R42" s="178"/>
    </row>
    <row r="43" spans="1:18" s="175" customFormat="1" ht="39.950000000000003" customHeight="1" x14ac:dyDescent="0.25">
      <c r="A43" s="1628"/>
      <c r="B43" s="1631" t="s">
        <v>478</v>
      </c>
      <c r="C43" s="1632"/>
      <c r="D43" s="1111" t="e">
        <f>R11</f>
        <v>#N/A</v>
      </c>
      <c r="E43" s="255" t="e">
        <f>F8</f>
        <v>#N/A</v>
      </c>
      <c r="F43" s="253" t="s">
        <v>4</v>
      </c>
      <c r="G43" s="970" t="e">
        <f>G8</f>
        <v>#N/A</v>
      </c>
      <c r="H43" s="971" t="e">
        <f>E43/G43</f>
        <v>#N/A</v>
      </c>
      <c r="I43" s="274" t="str">
        <f>F42</f>
        <v>mL</v>
      </c>
      <c r="J43" s="972">
        <v>0.05</v>
      </c>
      <c r="K43" s="274" t="s">
        <v>4</v>
      </c>
      <c r="L43" s="971" t="e">
        <f>J43*H43</f>
        <v>#N/A</v>
      </c>
      <c r="M43" s="274" t="s">
        <v>4</v>
      </c>
      <c r="N43" s="1117" t="e">
        <f>L43^2</f>
        <v>#N/A</v>
      </c>
      <c r="O43" s="973" t="s">
        <v>19</v>
      </c>
      <c r="P43" s="973" t="s">
        <v>122</v>
      </c>
      <c r="Q43" s="974">
        <v>50</v>
      </c>
      <c r="R43" s="178"/>
    </row>
    <row r="44" spans="1:18" s="175" customFormat="1" ht="39.950000000000003" customHeight="1" x14ac:dyDescent="0.25">
      <c r="A44" s="1628"/>
      <c r="B44" s="1629" t="s">
        <v>479</v>
      </c>
      <c r="C44" s="1630"/>
      <c r="D44" s="1112" t="e">
        <f>V18</f>
        <v>#DIV/0!</v>
      </c>
      <c r="E44" s="255" t="e">
        <f>D8</f>
        <v>#N/A</v>
      </c>
      <c r="F44" s="253" t="s">
        <v>4</v>
      </c>
      <c r="G44" s="254">
        <f>SQRT(3)</f>
        <v>1.7320508075688772</v>
      </c>
      <c r="H44" s="259" t="e">
        <f>SQRT((H43)^2+(Q21)^2)</f>
        <v>#N/A</v>
      </c>
      <c r="I44" s="253" t="str">
        <f>F43</f>
        <v>mL</v>
      </c>
      <c r="J44" s="257">
        <f>K28</f>
        <v>-2.5000000000000001E-2</v>
      </c>
      <c r="K44" s="253" t="s">
        <v>4</v>
      </c>
      <c r="L44" s="256" t="e">
        <f t="shared" ref="L44" si="1">J44*H44</f>
        <v>#N/A</v>
      </c>
      <c r="M44" s="253" t="s">
        <v>4</v>
      </c>
      <c r="N44" s="260" t="e">
        <f t="shared" ref="N44:N45" si="2">L44^2</f>
        <v>#N/A</v>
      </c>
      <c r="O44" s="254" t="s">
        <v>19</v>
      </c>
      <c r="P44" s="254" t="s">
        <v>5</v>
      </c>
      <c r="Q44" s="258">
        <v>50</v>
      </c>
      <c r="R44" s="178"/>
    </row>
    <row r="45" spans="1:18" s="175" customFormat="1" ht="39.950000000000003" customHeight="1" thickBot="1" x14ac:dyDescent="0.3">
      <c r="A45" s="176"/>
      <c r="B45" s="1613" t="s">
        <v>480</v>
      </c>
      <c r="C45" s="1614"/>
      <c r="D45" s="266"/>
      <c r="E45" s="267">
        <f>I13/10</f>
        <v>1.6387060000000002</v>
      </c>
      <c r="F45" s="268" t="s">
        <v>4</v>
      </c>
      <c r="G45" s="267">
        <f>SQRT(3)</f>
        <v>1.7320508075688772</v>
      </c>
      <c r="H45" s="269">
        <f>E45/G45</f>
        <v>0.94610735022265502</v>
      </c>
      <c r="I45" s="268" t="str">
        <f>F44</f>
        <v>mL</v>
      </c>
      <c r="J45" s="269">
        <f>J43</f>
        <v>0.05</v>
      </c>
      <c r="K45" s="268" t="s">
        <v>4</v>
      </c>
      <c r="L45" s="271">
        <f>J45*H45</f>
        <v>4.7305367511132755E-2</v>
      </c>
      <c r="M45" s="268" t="s">
        <v>4</v>
      </c>
      <c r="N45" s="271">
        <f t="shared" si="2"/>
        <v>2.2377977953633344E-3</v>
      </c>
      <c r="O45" s="267" t="s">
        <v>167</v>
      </c>
      <c r="P45" s="267" t="s">
        <v>5</v>
      </c>
      <c r="Q45" s="272" t="s">
        <v>11</v>
      </c>
      <c r="R45" s="178"/>
    </row>
    <row r="46" spans="1:18" s="176" customFormat="1" ht="39.950000000000003" customHeight="1" thickBot="1" x14ac:dyDescent="0.3">
      <c r="B46" s="261"/>
      <c r="C46" s="262"/>
      <c r="D46" s="262"/>
      <c r="E46" s="717"/>
      <c r="F46" s="263"/>
      <c r="G46" s="717"/>
      <c r="H46" s="717"/>
      <c r="I46" s="717"/>
      <c r="J46" s="264"/>
      <c r="K46" s="717"/>
      <c r="L46" s="717"/>
      <c r="M46" s="717"/>
      <c r="N46" s="1118"/>
      <c r="O46" s="717"/>
      <c r="P46" s="717"/>
      <c r="Q46" s="265"/>
    </row>
    <row r="47" spans="1:18" s="175" customFormat="1" ht="39.950000000000003" customHeight="1" x14ac:dyDescent="0.25">
      <c r="A47" s="176"/>
      <c r="B47" s="1626" t="s">
        <v>481</v>
      </c>
      <c r="C47" s="1627"/>
      <c r="D47" s="975"/>
      <c r="E47" s="287">
        <f>I13/10</f>
        <v>1.6387060000000002</v>
      </c>
      <c r="F47" s="925" t="s">
        <v>4</v>
      </c>
      <c r="G47" s="287">
        <f>SQRT(3)</f>
        <v>1.7320508075688772</v>
      </c>
      <c r="H47" s="933">
        <f>E47/G47</f>
        <v>0.94610735022265502</v>
      </c>
      <c r="I47" s="925" t="str">
        <f>$I$45</f>
        <v>mL</v>
      </c>
      <c r="J47" s="934">
        <f>J43</f>
        <v>0.05</v>
      </c>
      <c r="K47" s="925" t="s">
        <v>4</v>
      </c>
      <c r="L47" s="935">
        <f>H47*J47</f>
        <v>4.7305367511132755E-2</v>
      </c>
      <c r="M47" s="925" t="s">
        <v>4</v>
      </c>
      <c r="N47" s="935">
        <f t="shared" ref="N47:N49" si="3">L47^2</f>
        <v>2.2377977953633344E-3</v>
      </c>
      <c r="O47" s="287" t="s">
        <v>167</v>
      </c>
      <c r="P47" s="287" t="s">
        <v>5</v>
      </c>
      <c r="Q47" s="936" t="s">
        <v>11</v>
      </c>
      <c r="R47" s="178"/>
    </row>
    <row r="48" spans="1:18" s="175" customFormat="1" ht="39.950000000000003" customHeight="1" thickBot="1" x14ac:dyDescent="0.3">
      <c r="A48" s="176"/>
      <c r="B48" s="1613" t="s">
        <v>168</v>
      </c>
      <c r="C48" s="1614"/>
      <c r="D48" s="266"/>
      <c r="E48" s="269" t="e">
        <f>I13*((C21)/(2*F19))</f>
        <v>#DIV/0!</v>
      </c>
      <c r="F48" s="268" t="s">
        <v>4</v>
      </c>
      <c r="G48" s="267">
        <f>SQRT(12)</f>
        <v>3.4641016151377544</v>
      </c>
      <c r="H48" s="269" t="e">
        <f>E48/G48</f>
        <v>#DIV/0!</v>
      </c>
      <c r="I48" s="268" t="str">
        <f>$I$45</f>
        <v>mL</v>
      </c>
      <c r="J48" s="270">
        <v>1</v>
      </c>
      <c r="K48" s="268" t="s">
        <v>4</v>
      </c>
      <c r="L48" s="271" t="e">
        <f>H48*J48</f>
        <v>#DIV/0!</v>
      </c>
      <c r="M48" s="268" t="s">
        <v>4</v>
      </c>
      <c r="N48" s="271" t="e">
        <f>L48^2</f>
        <v>#DIV/0!</v>
      </c>
      <c r="O48" s="267"/>
      <c r="P48" s="267" t="s">
        <v>5</v>
      </c>
      <c r="Q48" s="272" t="s">
        <v>11</v>
      </c>
      <c r="R48" s="178"/>
    </row>
    <row r="49" spans="1:18" s="175" customFormat="1" ht="39.950000000000003" customHeight="1" thickBot="1" x14ac:dyDescent="0.3">
      <c r="A49" s="176"/>
      <c r="B49" s="1615" t="s">
        <v>482</v>
      </c>
      <c r="C49" s="1616"/>
      <c r="D49" s="926"/>
      <c r="E49" s="927"/>
      <c r="F49" s="268"/>
      <c r="G49" s="927"/>
      <c r="H49" s="929" t="e">
        <f>V16</f>
        <v>#N/A</v>
      </c>
      <c r="I49" s="928" t="str">
        <f>$I$45</f>
        <v>mL</v>
      </c>
      <c r="J49" s="930">
        <v>1</v>
      </c>
      <c r="K49" s="928" t="s">
        <v>4</v>
      </c>
      <c r="L49" s="931" t="e">
        <f>H49*J49</f>
        <v>#N/A</v>
      </c>
      <c r="M49" s="928" t="s">
        <v>4</v>
      </c>
      <c r="N49" s="931" t="e">
        <f t="shared" si="3"/>
        <v>#N/A</v>
      </c>
      <c r="O49" s="927"/>
      <c r="P49" s="927" t="s">
        <v>5</v>
      </c>
      <c r="Q49" s="932">
        <v>2</v>
      </c>
      <c r="R49" s="178"/>
    </row>
    <row r="50" spans="1:18" s="196" customFormat="1" ht="39.950000000000003" customHeight="1" thickBot="1" x14ac:dyDescent="0.25">
      <c r="K50" s="273"/>
      <c r="L50" s="185"/>
      <c r="M50" s="939"/>
      <c r="N50" s="1119" t="e">
        <f>SQRT(SUM(N42:N45,N47,N48,N49))</f>
        <v>#N/A</v>
      </c>
      <c r="O50" s="940" t="s">
        <v>4</v>
      </c>
      <c r="P50" s="186"/>
    </row>
    <row r="51" spans="1:18" s="196" customFormat="1" ht="39.950000000000003" customHeight="1" thickBot="1" x14ac:dyDescent="0.25">
      <c r="K51" s="275"/>
      <c r="L51" s="185"/>
      <c r="M51" s="276" t="s">
        <v>139</v>
      </c>
      <c r="N51" s="943" t="e">
        <f>N50*O53</f>
        <v>#N/A</v>
      </c>
      <c r="O51" s="944" t="s">
        <v>4</v>
      </c>
      <c r="P51" s="185"/>
    </row>
    <row r="52" spans="1:18" s="196" customFormat="1" ht="39.950000000000003" customHeight="1" thickBot="1" x14ac:dyDescent="0.25">
      <c r="L52" s="244"/>
      <c r="N52" s="941"/>
      <c r="O52" s="942" t="s">
        <v>113</v>
      </c>
      <c r="P52" s="277"/>
    </row>
    <row r="53" spans="1:18" s="196" customFormat="1" ht="39.950000000000003" customHeight="1" thickBot="1" x14ac:dyDescent="0.25">
      <c r="A53" s="278"/>
      <c r="L53" s="889" t="s">
        <v>483</v>
      </c>
      <c r="M53" s="890"/>
      <c r="N53" s="976" t="e">
        <f>(N50^4)/((L43^4/Q43)+(L44^4/Q44)+(L49^4/Q49))</f>
        <v>#N/A</v>
      </c>
      <c r="O53" s="937" t="e">
        <f>_xlfn.T.INV.2T(0.05,N53)</f>
        <v>#N/A</v>
      </c>
      <c r="P53" s="938" t="e">
        <f>TINV(0.05,N53)</f>
        <v>#N/A</v>
      </c>
    </row>
    <row r="54" spans="1:18" s="196" customFormat="1" ht="39.950000000000003" customHeight="1" thickBot="1" x14ac:dyDescent="0.25">
      <c r="B54" s="1595" t="s">
        <v>140</v>
      </c>
      <c r="C54" s="1596"/>
      <c r="D54" s="1596"/>
      <c r="E54" s="1596"/>
      <c r="F54" s="1596"/>
      <c r="G54" s="1597"/>
      <c r="I54" s="284" t="s">
        <v>334</v>
      </c>
      <c r="O54" s="434"/>
    </row>
    <row r="55" spans="1:18" s="196" customFormat="1" ht="39.950000000000003" customHeight="1" thickBot="1" x14ac:dyDescent="0.25">
      <c r="B55" s="945" t="s">
        <v>75</v>
      </c>
      <c r="C55" s="946" t="s">
        <v>484</v>
      </c>
      <c r="D55" s="946" t="s">
        <v>485</v>
      </c>
      <c r="E55" s="947" t="s">
        <v>113</v>
      </c>
      <c r="F55" s="946" t="s">
        <v>7</v>
      </c>
      <c r="G55" s="948" t="s">
        <v>371</v>
      </c>
      <c r="I55" s="1185"/>
    </row>
    <row r="56" spans="1:18" s="196" customFormat="1" ht="39.950000000000003" customHeight="1" x14ac:dyDescent="0.2">
      <c r="B56" s="286" t="s">
        <v>4</v>
      </c>
      <c r="C56" s="949" t="e">
        <f>V14</f>
        <v>#N/A</v>
      </c>
      <c r="D56" s="950" t="e">
        <f>N50</f>
        <v>#N/A</v>
      </c>
      <c r="E56" s="1588">
        <v>2</v>
      </c>
      <c r="F56" s="951" t="e">
        <f>D56*E56</f>
        <v>#N/A</v>
      </c>
      <c r="G56" s="1585">
        <v>95</v>
      </c>
    </row>
    <row r="57" spans="1:18" s="196" customFormat="1" ht="39.950000000000003" customHeight="1" x14ac:dyDescent="0.2">
      <c r="B57" s="288" t="s">
        <v>254</v>
      </c>
      <c r="C57" s="294" t="e">
        <f>C56/J22</f>
        <v>#N/A</v>
      </c>
      <c r="D57" s="426" t="e">
        <f>C57/J22</f>
        <v>#N/A</v>
      </c>
      <c r="E57" s="1589"/>
      <c r="F57" s="952" t="e">
        <f>F56/J22</f>
        <v>#N/A</v>
      </c>
      <c r="G57" s="1586"/>
    </row>
    <row r="58" spans="1:18" s="196" customFormat="1" ht="39.950000000000003" customHeight="1" thickBot="1" x14ac:dyDescent="0.25">
      <c r="B58" s="289" t="s">
        <v>336</v>
      </c>
      <c r="C58" s="293" t="e">
        <f>(C57*100)/K20</f>
        <v>#N/A</v>
      </c>
      <c r="D58" s="427" t="e">
        <f>(D57*100)/1155</f>
        <v>#N/A</v>
      </c>
      <c r="E58" s="1590"/>
      <c r="F58" s="953" t="e">
        <f>(F57*100)/K20</f>
        <v>#N/A</v>
      </c>
      <c r="G58" s="1587"/>
    </row>
    <row r="59" spans="1:18" s="196" customFormat="1" x14ac:dyDescent="0.2"/>
    <row r="60" spans="1:18" s="196" customFormat="1" x14ac:dyDescent="0.2"/>
    <row r="61" spans="1:18" s="196" customFormat="1" x14ac:dyDescent="0.2"/>
  </sheetData>
  <sheetProtection password="CF7A" sheet="1" objects="1" scenarios="1"/>
  <dataConsolidate/>
  <mergeCells count="44">
    <mergeCell ref="A1:B1"/>
    <mergeCell ref="L6:P7"/>
    <mergeCell ref="D3:E3"/>
    <mergeCell ref="G3:H3"/>
    <mergeCell ref="J3:K3"/>
    <mergeCell ref="P3:R3"/>
    <mergeCell ref="Q6:V7"/>
    <mergeCell ref="A6:G6"/>
    <mergeCell ref="H6:I6"/>
    <mergeCell ref="J6:K6"/>
    <mergeCell ref="H7:I7"/>
    <mergeCell ref="D1:W1"/>
    <mergeCell ref="A42:A44"/>
    <mergeCell ref="B45:C45"/>
    <mergeCell ref="B44:C44"/>
    <mergeCell ref="B43:C43"/>
    <mergeCell ref="B42:C42"/>
    <mergeCell ref="T8:T10"/>
    <mergeCell ref="U8:U10"/>
    <mergeCell ref="V8:V10"/>
    <mergeCell ref="B48:C48"/>
    <mergeCell ref="B49:C49"/>
    <mergeCell ref="B39:Q39"/>
    <mergeCell ref="B40:C40"/>
    <mergeCell ref="H8:I8"/>
    <mergeCell ref="R8:R10"/>
    <mergeCell ref="S8:S10"/>
    <mergeCell ref="Q19:S20"/>
    <mergeCell ref="Q21:S21"/>
    <mergeCell ref="B24:L24"/>
    <mergeCell ref="H10:I10"/>
    <mergeCell ref="B17:F17"/>
    <mergeCell ref="B47:C47"/>
    <mergeCell ref="G17:K17"/>
    <mergeCell ref="G56:G58"/>
    <mergeCell ref="E56:E58"/>
    <mergeCell ref="R11:R13"/>
    <mergeCell ref="Q8:Q10"/>
    <mergeCell ref="B54:G54"/>
    <mergeCell ref="B11:C11"/>
    <mergeCell ref="D11:E11"/>
    <mergeCell ref="B10:E10"/>
    <mergeCell ref="J8:K8"/>
    <mergeCell ref="Q11:Q13"/>
  </mergeCells>
  <pageMargins left="0.70866141732283472" right="0.70866141732283472" top="0.74803149606299213" bottom="0.74803149606299213" header="0.31496062992125984" footer="0.31496062992125984"/>
  <pageSetup scale="10" orientation="landscape" horizontalDpi="4294967293" r:id="rId1"/>
  <headerFooter>
    <oddFooter>&amp;RRT03-F11 Vr.6(2019-11-07)</oddFooter>
  </headerFooter>
  <rowBreaks count="1" manualBreakCount="1">
    <brk id="36" max="22" man="1"/>
  </rowBreaks>
  <colBreaks count="1" manualBreakCount="1">
    <brk id="26" max="63" man="1"/>
  </colBreaks>
  <ignoredErrors>
    <ignoredError sqref="Q11:R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DATOS°!$D$7:$D$9</xm:f>
          </x14:formula1>
          <xm:sqref>S3</xm:sqref>
        </x14:dataValidation>
        <x14:dataValidation type="list" allowBlank="1" showInputMessage="1" showErrorMessage="1">
          <x14:formula1>
            <xm:f>DATOS°!$P$9:$P$13</xm:f>
          </x14:formula1>
          <xm:sqref>K7</xm:sqref>
        </x14:dataValidation>
        <x14:dataValidation type="list" allowBlank="1" showInputMessage="1" showErrorMessage="1">
          <x14:formula1>
            <xm:f>DATOS°!$P$112:$P$115</xm:f>
          </x14:formula1>
          <xm:sqref>F12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Z186"/>
  <sheetViews>
    <sheetView showGridLines="0" view="pageBreakPreview" zoomScale="90" zoomScaleNormal="100" zoomScaleSheetLayoutView="90" workbookViewId="0">
      <selection activeCell="E21" sqref="E21:H21"/>
    </sheetView>
  </sheetViews>
  <sheetFormatPr baseColWidth="10" defaultRowHeight="15.75" x14ac:dyDescent="0.25"/>
  <cols>
    <col min="1" max="1" width="6.28515625" style="793" customWidth="1"/>
    <col min="2" max="3" width="7.85546875" style="793" customWidth="1"/>
    <col min="4" max="4" width="11" style="793" customWidth="1"/>
    <col min="5" max="5" width="10.7109375" style="793" customWidth="1"/>
    <col min="6" max="6" width="12.7109375" style="793" customWidth="1"/>
    <col min="7" max="7" width="9.7109375" style="793" customWidth="1"/>
    <col min="8" max="8" width="14.7109375" style="793" customWidth="1"/>
    <col min="9" max="9" width="15.85546875" style="793" customWidth="1"/>
    <col min="10" max="10" width="9.42578125" style="793" customWidth="1"/>
    <col min="11" max="11" width="15.7109375" style="793" customWidth="1"/>
    <col min="12" max="12" width="3.28515625" style="793" customWidth="1"/>
    <col min="13" max="13" width="8.28515625" style="793" customWidth="1"/>
    <col min="14" max="14" width="10.140625" style="793" customWidth="1"/>
    <col min="15" max="15" width="8" style="793" customWidth="1"/>
    <col min="16" max="16" width="13.85546875" style="793" customWidth="1"/>
    <col min="17" max="17" width="0.5703125" style="793" customWidth="1"/>
    <col min="18" max="18" width="1.7109375" style="793" customWidth="1"/>
    <col min="19" max="16384" width="11.42578125" style="793"/>
  </cols>
  <sheetData>
    <row r="1" spans="1:11" ht="20.100000000000001" customHeight="1" x14ac:dyDescent="0.25">
      <c r="A1" s="1729"/>
      <c r="B1" s="1729"/>
      <c r="C1" s="1729"/>
      <c r="D1" s="1729"/>
      <c r="E1" s="1729"/>
      <c r="F1" s="1729"/>
      <c r="G1" s="1729"/>
      <c r="H1" s="1729"/>
      <c r="I1" s="1729"/>
      <c r="J1" s="1729"/>
      <c r="K1" s="1729"/>
    </row>
    <row r="2" spans="1:11" ht="20.100000000000001" customHeight="1" x14ac:dyDescent="0.25">
      <c r="A2" s="1729"/>
      <c r="B2" s="1729"/>
      <c r="C2" s="1729"/>
      <c r="D2" s="1729"/>
      <c r="E2" s="1729"/>
      <c r="F2" s="1729"/>
      <c r="G2" s="1729"/>
      <c r="H2" s="1729"/>
      <c r="I2" s="1729"/>
      <c r="J2" s="1729"/>
      <c r="K2" s="1729"/>
    </row>
    <row r="3" spans="1:11" ht="20.100000000000001" customHeight="1" x14ac:dyDescent="0.25">
      <c r="A3" s="1729"/>
      <c r="B3" s="1729"/>
      <c r="C3" s="1729"/>
      <c r="D3" s="1729"/>
      <c r="E3" s="1729"/>
      <c r="F3" s="1729"/>
      <c r="G3" s="1729"/>
      <c r="H3" s="1729"/>
      <c r="I3" s="1729"/>
      <c r="J3" s="1729"/>
      <c r="K3" s="1729"/>
    </row>
    <row r="4" spans="1:11" ht="20.100000000000001" customHeight="1" x14ac:dyDescent="0.25">
      <c r="A4" s="1729"/>
      <c r="B4" s="1729"/>
      <c r="C4" s="1729"/>
      <c r="D4" s="1729"/>
      <c r="E4" s="1729"/>
      <c r="F4" s="1729"/>
      <c r="G4" s="1729"/>
      <c r="H4" s="1729"/>
      <c r="I4" s="1729"/>
      <c r="J4" s="1729"/>
      <c r="K4" s="1729"/>
    </row>
    <row r="5" spans="1:11" ht="20.100000000000001" customHeight="1" x14ac:dyDescent="0.25">
      <c r="A5" s="1729"/>
      <c r="B5" s="1729"/>
      <c r="C5" s="1729"/>
      <c r="D5" s="1729"/>
      <c r="E5" s="1729"/>
      <c r="F5" s="1729"/>
      <c r="G5" s="1729"/>
      <c r="H5" s="1729"/>
      <c r="I5" s="1729"/>
      <c r="J5" s="1729"/>
      <c r="K5" s="1729"/>
    </row>
    <row r="6" spans="1:11" ht="20.100000000000001" customHeight="1" x14ac:dyDescent="0.25">
      <c r="A6" s="794"/>
      <c r="B6" s="794"/>
      <c r="C6" s="794"/>
      <c r="D6" s="794"/>
      <c r="E6" s="794"/>
      <c r="F6" s="794"/>
      <c r="G6" s="794"/>
      <c r="H6" s="795" t="s">
        <v>373</v>
      </c>
      <c r="I6" s="1651">
        <f>DATOS°!N15</f>
        <v>0</v>
      </c>
      <c r="J6" s="1651"/>
      <c r="K6" s="1651"/>
    </row>
    <row r="7" spans="1:11" ht="18" customHeight="1" x14ac:dyDescent="0.25">
      <c r="A7" s="1730" t="s">
        <v>51</v>
      </c>
      <c r="B7" s="1730"/>
      <c r="C7" s="1730"/>
      <c r="D7" s="1730"/>
      <c r="E7" s="797"/>
      <c r="F7" s="798"/>
    </row>
    <row r="8" spans="1:11" ht="18" customHeight="1" x14ac:dyDescent="0.25">
      <c r="A8" s="799"/>
      <c r="B8" s="799"/>
      <c r="C8" s="799"/>
      <c r="D8" s="798"/>
      <c r="E8" s="798"/>
      <c r="F8" s="798"/>
    </row>
    <row r="9" spans="1:11" ht="18" customHeight="1" x14ac:dyDescent="0.25">
      <c r="A9" s="1677" t="s">
        <v>565</v>
      </c>
      <c r="B9" s="1677"/>
      <c r="C9" s="800"/>
      <c r="D9" s="1661">
        <f>DATOS°!K8</f>
        <v>0</v>
      </c>
      <c r="E9" s="1661"/>
      <c r="F9" s="1661"/>
      <c r="G9" s="1661"/>
      <c r="H9" s="1661"/>
      <c r="I9" s="1661"/>
      <c r="J9" s="1661"/>
      <c r="K9" s="1661"/>
    </row>
    <row r="10" spans="1:11" ht="18" customHeight="1" x14ac:dyDescent="0.25">
      <c r="A10" s="1677" t="s">
        <v>566</v>
      </c>
      <c r="B10" s="1677"/>
      <c r="C10" s="800"/>
      <c r="D10" s="1661">
        <f>DATOS°!L8</f>
        <v>0</v>
      </c>
      <c r="E10" s="1661"/>
      <c r="F10" s="1661"/>
      <c r="G10" s="1661"/>
      <c r="H10" s="1661"/>
      <c r="I10" s="1661"/>
      <c r="J10" s="1661"/>
      <c r="K10" s="1661"/>
    </row>
    <row r="11" spans="1:11" ht="20.25" customHeight="1" x14ac:dyDescent="0.25">
      <c r="A11" s="1677" t="s">
        <v>567</v>
      </c>
      <c r="B11" s="1677"/>
      <c r="C11" s="800"/>
      <c r="D11" s="1661">
        <f>DATOS°!M8</f>
        <v>0</v>
      </c>
      <c r="E11" s="1661"/>
      <c r="F11" s="1661"/>
      <c r="G11" s="1661"/>
      <c r="H11" s="1661"/>
      <c r="I11" s="1661"/>
      <c r="J11" s="1661"/>
      <c r="K11" s="1661"/>
    </row>
    <row r="12" spans="1:11" ht="18" customHeight="1" x14ac:dyDescent="0.25">
      <c r="A12" s="802"/>
      <c r="B12" s="802"/>
      <c r="C12" s="799"/>
      <c r="D12" s="798"/>
      <c r="E12" s="798"/>
      <c r="F12" s="798"/>
      <c r="G12" s="798"/>
    </row>
    <row r="13" spans="1:11" ht="18" customHeight="1" x14ac:dyDescent="0.25">
      <c r="A13" s="1677" t="s">
        <v>568</v>
      </c>
      <c r="B13" s="1677"/>
      <c r="C13" s="1677"/>
      <c r="D13" s="1677"/>
      <c r="E13" s="1741" t="e">
        <f>'RT03-F11° '!D3</f>
        <v>#N/A</v>
      </c>
      <c r="F13" s="1741"/>
      <c r="G13" s="1742" t="s">
        <v>569</v>
      </c>
      <c r="H13" s="1742"/>
      <c r="I13" s="1741">
        <f>DATOS°!I8</f>
        <v>0</v>
      </c>
      <c r="J13" s="1741"/>
      <c r="K13" s="1741"/>
    </row>
    <row r="14" spans="1:11" ht="18" customHeight="1" x14ac:dyDescent="0.25">
      <c r="A14" s="1732"/>
      <c r="B14" s="1732"/>
      <c r="C14" s="803"/>
      <c r="D14" s="1732"/>
      <c r="E14" s="1732"/>
      <c r="F14" s="1732"/>
      <c r="I14" s="804"/>
      <c r="J14" s="804"/>
      <c r="K14" s="804"/>
    </row>
    <row r="15" spans="1:11" ht="18" customHeight="1" x14ac:dyDescent="0.25">
      <c r="A15" s="1730" t="s">
        <v>54</v>
      </c>
      <c r="B15" s="1730"/>
      <c r="C15" s="1730"/>
      <c r="D15" s="1730"/>
      <c r="E15" s="1730"/>
      <c r="F15" s="1730"/>
      <c r="G15" s="1730"/>
      <c r="H15" s="1730"/>
      <c r="I15" s="1730"/>
      <c r="J15" s="1730"/>
      <c r="K15" s="804"/>
    </row>
    <row r="16" spans="1:11" ht="18" customHeight="1" x14ac:dyDescent="0.25">
      <c r="A16" s="800"/>
      <c r="B16" s="800"/>
      <c r="C16" s="800"/>
      <c r="D16" s="800"/>
      <c r="E16" s="800"/>
      <c r="F16" s="805"/>
      <c r="G16" s="77"/>
      <c r="H16" s="77"/>
      <c r="I16" s="78"/>
      <c r="J16" s="78"/>
      <c r="K16" s="804"/>
    </row>
    <row r="17" spans="1:26" ht="18" customHeight="1" x14ac:dyDescent="0.25">
      <c r="A17" s="1677" t="s">
        <v>27</v>
      </c>
      <c r="B17" s="1677"/>
      <c r="C17" s="1677"/>
      <c r="D17" s="1677"/>
      <c r="E17" s="1670" t="s">
        <v>539</v>
      </c>
      <c r="F17" s="1670"/>
      <c r="G17" s="1670"/>
      <c r="H17" s="1670"/>
      <c r="I17" s="78"/>
      <c r="J17" s="78"/>
      <c r="K17" s="804"/>
    </row>
    <row r="18" spans="1:26" ht="18" customHeight="1" x14ac:dyDescent="0.25">
      <c r="A18" s="1677" t="s">
        <v>437</v>
      </c>
      <c r="B18" s="1677"/>
      <c r="C18" s="1677"/>
      <c r="D18" s="1677"/>
      <c r="E18" s="1661">
        <f>DATOS°!C15</f>
        <v>0</v>
      </c>
      <c r="F18" s="1661"/>
      <c r="G18" s="1661"/>
      <c r="H18" s="1661"/>
      <c r="I18" s="806"/>
      <c r="J18" s="78"/>
      <c r="K18" s="804"/>
    </row>
    <row r="19" spans="1:26" ht="18" customHeight="1" x14ac:dyDescent="0.25">
      <c r="A19" s="1677" t="s">
        <v>436</v>
      </c>
      <c r="B19" s="1677"/>
      <c r="C19" s="1677"/>
      <c r="D19" s="1677"/>
      <c r="E19" s="1661">
        <f>DATOS°!E15</f>
        <v>0</v>
      </c>
      <c r="F19" s="1661"/>
      <c r="G19" s="1661"/>
      <c r="H19" s="1661"/>
      <c r="I19" s="806"/>
      <c r="J19" s="78"/>
      <c r="K19" s="804"/>
    </row>
    <row r="20" spans="1:26" ht="18" customHeight="1" x14ac:dyDescent="0.25">
      <c r="A20" s="1671" t="s">
        <v>400</v>
      </c>
      <c r="B20" s="1671"/>
      <c r="C20" s="1671"/>
      <c r="D20" s="1671"/>
      <c r="E20" s="1740">
        <f>DATOS°!D15</f>
        <v>0</v>
      </c>
      <c r="F20" s="1740"/>
      <c r="G20" s="1740"/>
      <c r="H20" s="1740"/>
      <c r="I20" s="806"/>
      <c r="J20" s="78"/>
      <c r="K20" s="804"/>
    </row>
    <row r="21" spans="1:26" ht="18" customHeight="1" x14ac:dyDescent="0.25">
      <c r="A21" s="1671" t="s">
        <v>42</v>
      </c>
      <c r="B21" s="1671"/>
      <c r="C21" s="1671"/>
      <c r="D21" s="1671"/>
      <c r="E21" s="1670" t="s">
        <v>492</v>
      </c>
      <c r="F21" s="1670"/>
      <c r="G21" s="1670"/>
      <c r="H21" s="1670"/>
      <c r="I21" s="806"/>
      <c r="J21" s="78"/>
      <c r="K21" s="804"/>
    </row>
    <row r="22" spans="1:26" ht="18" customHeight="1" x14ac:dyDescent="0.25">
      <c r="A22" s="1671" t="s">
        <v>438</v>
      </c>
      <c r="B22" s="1671"/>
      <c r="C22" s="1671"/>
      <c r="D22" s="1671"/>
      <c r="E22" s="1670" t="s">
        <v>420</v>
      </c>
      <c r="F22" s="1670"/>
      <c r="G22" s="1670"/>
      <c r="H22" s="1670"/>
      <c r="I22" s="806"/>
      <c r="J22" s="77"/>
    </row>
    <row r="23" spans="1:26" ht="18" customHeight="1" x14ac:dyDescent="0.25">
      <c r="A23" s="1671" t="s">
        <v>439</v>
      </c>
      <c r="B23" s="1671"/>
      <c r="C23" s="1671"/>
      <c r="D23" s="1671"/>
      <c r="E23" s="1670" t="s">
        <v>420</v>
      </c>
      <c r="F23" s="1670"/>
      <c r="G23" s="1670"/>
      <c r="H23" s="1670"/>
      <c r="I23" s="806"/>
      <c r="J23" s="77"/>
    </row>
    <row r="24" spans="1:26" ht="18" customHeight="1" x14ac:dyDescent="0.25">
      <c r="A24" s="1671" t="s">
        <v>435</v>
      </c>
      <c r="B24" s="1671"/>
      <c r="C24" s="1671"/>
      <c r="D24" s="1671"/>
      <c r="E24" s="1186" t="str">
        <f>DATOS°!G15</f>
        <v>5 gal</v>
      </c>
      <c r="F24" s="1187"/>
      <c r="G24" s="1187"/>
      <c r="H24" s="1187"/>
      <c r="I24" s="806"/>
      <c r="J24" s="77"/>
      <c r="T24" s="1732"/>
      <c r="U24" s="1732"/>
      <c r="V24" s="1732"/>
      <c r="W24" s="1732"/>
      <c r="X24" s="1732"/>
    </row>
    <row r="25" spans="1:26" ht="18" customHeight="1" x14ac:dyDescent="0.25">
      <c r="A25" s="1671" t="s">
        <v>272</v>
      </c>
      <c r="B25" s="1671"/>
      <c r="C25" s="1671"/>
      <c r="D25" s="1671"/>
      <c r="E25" s="1188" t="e">
        <f>DATOS°!H15</f>
        <v>#N/A</v>
      </c>
      <c r="F25" s="1189"/>
      <c r="G25" s="1189"/>
      <c r="H25" s="1189"/>
      <c r="I25" s="806"/>
      <c r="J25" s="77"/>
      <c r="N25" s="807"/>
      <c r="O25" s="807"/>
      <c r="P25" s="807"/>
      <c r="Q25" s="807"/>
      <c r="R25" s="807"/>
      <c r="S25" s="807"/>
      <c r="T25" s="807"/>
      <c r="U25" s="807"/>
      <c r="V25" s="807"/>
      <c r="W25" s="807"/>
    </row>
    <row r="26" spans="1:26" ht="18" customHeight="1" x14ac:dyDescent="0.25">
      <c r="A26" s="1671" t="s">
        <v>399</v>
      </c>
      <c r="B26" s="1671"/>
      <c r="C26" s="1671"/>
      <c r="D26" s="1671"/>
      <c r="E26" s="1670" t="s">
        <v>440</v>
      </c>
      <c r="F26" s="1670"/>
      <c r="G26" s="1670"/>
      <c r="H26" s="1670"/>
      <c r="I26" s="806"/>
      <c r="J26" s="808"/>
      <c r="T26" s="1738"/>
      <c r="U26" s="1739"/>
      <c r="V26" s="1739"/>
      <c r="X26" s="1732"/>
      <c r="Y26" s="1732"/>
      <c r="Z26" s="1732"/>
    </row>
    <row r="27" spans="1:26" ht="18" customHeight="1" x14ac:dyDescent="0.25">
      <c r="A27" s="1732"/>
      <c r="B27" s="1732"/>
      <c r="C27" s="1732"/>
      <c r="D27" s="1732"/>
      <c r="E27" s="1658"/>
      <c r="F27" s="1658"/>
      <c r="G27" s="1658"/>
      <c r="H27" s="1658"/>
      <c r="I27" s="809"/>
    </row>
    <row r="28" spans="1:26" ht="18" customHeight="1" x14ac:dyDescent="0.25">
      <c r="A28" s="1730" t="s">
        <v>169</v>
      </c>
      <c r="B28" s="1730"/>
      <c r="C28" s="1730"/>
      <c r="D28" s="1730"/>
      <c r="E28" s="1730"/>
      <c r="F28" s="1730"/>
      <c r="G28" s="1730"/>
      <c r="H28" s="1730"/>
      <c r="I28" s="1730"/>
      <c r="J28" s="1730"/>
      <c r="K28" s="1730"/>
    </row>
    <row r="29" spans="1:26" ht="18" customHeight="1" x14ac:dyDescent="0.25">
      <c r="A29" s="77"/>
      <c r="B29" s="77"/>
      <c r="C29" s="77"/>
      <c r="D29" s="77"/>
      <c r="E29" s="77"/>
      <c r="F29" s="77"/>
      <c r="G29" s="77"/>
      <c r="H29" s="77"/>
      <c r="I29" s="77"/>
      <c r="J29" s="77"/>
      <c r="K29" s="77"/>
    </row>
    <row r="30" spans="1:26" ht="18" customHeight="1" x14ac:dyDescent="0.25">
      <c r="A30" s="1750" t="str">
        <f>DATOS°!G8</f>
        <v>Laboratorios de calibración de  volumen de la SIC,   AK  50 # 26-55 Int 2,  piso 5.</v>
      </c>
      <c r="B30" s="1750"/>
      <c r="C30" s="1750"/>
      <c r="D30" s="1750"/>
      <c r="E30" s="1750"/>
      <c r="F30" s="1750"/>
      <c r="G30" s="1750"/>
      <c r="H30" s="1750"/>
      <c r="I30" s="1750"/>
      <c r="J30" s="1750"/>
      <c r="K30" s="1750"/>
    </row>
    <row r="31" spans="1:26" ht="18" customHeight="1" x14ac:dyDescent="0.25">
      <c r="A31" s="1731"/>
      <c r="B31" s="1731"/>
      <c r="C31" s="1731"/>
      <c r="D31" s="1731"/>
      <c r="E31" s="1731"/>
      <c r="F31" s="1731"/>
      <c r="G31" s="1731"/>
      <c r="H31" s="1731"/>
      <c r="I31" s="1731"/>
      <c r="J31" s="1731"/>
      <c r="K31" s="1731"/>
    </row>
    <row r="32" spans="1:26" ht="18" customHeight="1" x14ac:dyDescent="0.25">
      <c r="G32" s="799"/>
      <c r="H32" s="799"/>
      <c r="I32" s="799"/>
      <c r="J32" s="799"/>
    </row>
    <row r="33" spans="1:11" ht="18" customHeight="1" x14ac:dyDescent="0.25">
      <c r="A33" s="1730" t="s">
        <v>377</v>
      </c>
      <c r="B33" s="1730"/>
      <c r="C33" s="1730"/>
      <c r="D33" s="1730"/>
      <c r="E33" s="1731">
        <f>DATOS°!J8</f>
        <v>0</v>
      </c>
      <c r="F33" s="1731"/>
      <c r="G33" s="175"/>
      <c r="H33" s="77"/>
      <c r="I33" s="77"/>
      <c r="J33" s="77"/>
      <c r="K33" s="77"/>
    </row>
    <row r="34" spans="1:11" ht="18" customHeight="1" x14ac:dyDescent="0.25">
      <c r="A34" s="77"/>
      <c r="B34" s="77"/>
      <c r="C34" s="77"/>
      <c r="D34" s="77"/>
      <c r="E34" s="77"/>
      <c r="F34" s="178"/>
      <c r="G34" s="178"/>
      <c r="H34" s="77"/>
      <c r="I34" s="77"/>
      <c r="J34" s="77"/>
      <c r="K34" s="77"/>
    </row>
    <row r="35" spans="1:11" ht="18" customHeight="1" x14ac:dyDescent="0.25">
      <c r="A35" s="1683" t="s">
        <v>441</v>
      </c>
      <c r="B35" s="1683"/>
      <c r="C35" s="1683"/>
      <c r="D35" s="1683"/>
      <c r="E35" s="1683"/>
      <c r="F35" s="1683"/>
      <c r="G35" s="1683"/>
      <c r="H35" s="1683"/>
      <c r="I35" s="810"/>
      <c r="J35" s="811"/>
      <c r="K35" s="77"/>
    </row>
    <row r="36" spans="1:11" ht="18" customHeight="1" x14ac:dyDescent="0.25">
      <c r="A36" s="806"/>
      <c r="B36" s="806"/>
      <c r="C36" s="806"/>
      <c r="D36" s="806"/>
      <c r="E36" s="806"/>
      <c r="F36" s="806"/>
      <c r="G36" s="806"/>
      <c r="H36" s="806"/>
      <c r="I36" s="806"/>
      <c r="J36" s="77"/>
      <c r="K36" s="77"/>
    </row>
    <row r="37" spans="1:11" ht="18" customHeight="1" x14ac:dyDescent="0.25">
      <c r="A37" s="1681" t="s">
        <v>570</v>
      </c>
      <c r="B37" s="1681"/>
      <c r="C37" s="1681"/>
      <c r="D37" s="1681"/>
      <c r="E37" s="1681"/>
      <c r="F37" s="1681"/>
      <c r="G37" s="1681"/>
      <c r="H37" s="1681"/>
      <c r="I37" s="1681"/>
      <c r="J37" s="1681"/>
      <c r="K37" s="1681"/>
    </row>
    <row r="38" spans="1:11" ht="18" customHeight="1" x14ac:dyDescent="0.25">
      <c r="A38" s="1681"/>
      <c r="B38" s="1681"/>
      <c r="C38" s="1681"/>
      <c r="D38" s="1681"/>
      <c r="E38" s="1681"/>
      <c r="F38" s="1681"/>
      <c r="G38" s="1681"/>
      <c r="H38" s="1681"/>
      <c r="I38" s="1681"/>
      <c r="J38" s="1681"/>
      <c r="K38" s="1681"/>
    </row>
    <row r="39" spans="1:11" ht="18" customHeight="1" x14ac:dyDescent="0.25">
      <c r="A39" s="812"/>
      <c r="B39" s="812"/>
      <c r="C39" s="812"/>
      <c r="D39" s="812"/>
      <c r="E39" s="812"/>
      <c r="F39" s="812"/>
      <c r="G39" s="812"/>
      <c r="H39" s="812"/>
      <c r="I39" s="812"/>
      <c r="J39" s="812"/>
      <c r="K39" s="812"/>
    </row>
    <row r="40" spans="1:11" ht="18" customHeight="1" x14ac:dyDescent="0.25">
      <c r="A40" s="812"/>
      <c r="B40" s="812"/>
      <c r="C40" s="812"/>
      <c r="D40" s="812"/>
      <c r="E40" s="812"/>
      <c r="F40" s="812"/>
      <c r="G40" s="812"/>
      <c r="H40" s="812"/>
      <c r="I40" s="812"/>
      <c r="J40" s="812"/>
      <c r="K40" s="812"/>
    </row>
    <row r="41" spans="1:11" ht="18" customHeight="1" x14ac:dyDescent="0.25">
      <c r="A41" s="812"/>
      <c r="B41" s="812"/>
      <c r="C41" s="812"/>
      <c r="D41" s="812"/>
      <c r="E41" s="812"/>
      <c r="F41" s="812"/>
      <c r="G41" s="812"/>
      <c r="H41" s="812"/>
      <c r="I41" s="812"/>
      <c r="J41" s="812"/>
      <c r="K41" s="812"/>
    </row>
    <row r="42" spans="1:11" ht="18" customHeight="1" x14ac:dyDescent="0.25">
      <c r="A42" s="812"/>
      <c r="B42" s="812"/>
      <c r="C42" s="812"/>
      <c r="D42" s="812"/>
      <c r="E42" s="812"/>
      <c r="F42" s="812"/>
      <c r="G42" s="812"/>
      <c r="H42" s="812"/>
      <c r="I42" s="812"/>
      <c r="J42" s="812"/>
      <c r="K42" s="812"/>
    </row>
    <row r="43" spans="1:11" ht="18" customHeight="1" x14ac:dyDescent="0.25">
      <c r="A43" s="812"/>
      <c r="B43" s="812"/>
      <c r="C43" s="812"/>
      <c r="D43" s="812"/>
      <c r="E43" s="812"/>
      <c r="F43" s="812"/>
      <c r="G43" s="812"/>
      <c r="H43" s="812"/>
      <c r="I43" s="812"/>
      <c r="J43" s="812"/>
      <c r="K43" s="812"/>
    </row>
    <row r="44" spans="1:11" ht="120" customHeight="1" x14ac:dyDescent="0.25">
      <c r="A44" s="813"/>
      <c r="B44" s="813"/>
      <c r="C44" s="813"/>
      <c r="D44" s="813"/>
      <c r="E44" s="813"/>
      <c r="F44" s="813"/>
      <c r="G44" s="813"/>
      <c r="H44" s="813"/>
      <c r="I44" s="813"/>
      <c r="J44" s="813"/>
    </row>
    <row r="45" spans="1:11" ht="18" customHeight="1" x14ac:dyDescent="0.25">
      <c r="A45" s="813"/>
      <c r="B45" s="813"/>
      <c r="C45" s="813"/>
      <c r="D45" s="813"/>
      <c r="E45" s="813"/>
      <c r="F45" s="813"/>
      <c r="G45" s="813"/>
      <c r="H45" s="795" t="s">
        <v>373</v>
      </c>
      <c r="I45" s="1651">
        <f>I6</f>
        <v>0</v>
      </c>
      <c r="J45" s="1651"/>
      <c r="K45" s="1651"/>
    </row>
    <row r="46" spans="1:11" ht="18" customHeight="1" x14ac:dyDescent="0.25">
      <c r="A46" s="813"/>
      <c r="B46" s="813"/>
      <c r="C46" s="813"/>
      <c r="D46" s="813"/>
      <c r="E46" s="813"/>
      <c r="F46" s="813"/>
      <c r="G46" s="813"/>
      <c r="H46" s="795"/>
      <c r="I46" s="1135"/>
      <c r="J46" s="1135"/>
      <c r="K46" s="1136"/>
    </row>
    <row r="47" spans="1:11" ht="18" customHeight="1" x14ac:dyDescent="0.25">
      <c r="A47" s="813"/>
      <c r="B47" s="813"/>
      <c r="C47" s="813"/>
      <c r="D47" s="813"/>
      <c r="E47" s="813"/>
      <c r="F47" s="813"/>
      <c r="G47" s="813"/>
      <c r="H47" s="795"/>
      <c r="I47" s="1135"/>
      <c r="J47" s="1135"/>
      <c r="K47" s="1136"/>
    </row>
    <row r="48" spans="1:11" ht="18" customHeight="1" x14ac:dyDescent="0.25">
      <c r="A48" s="813"/>
      <c r="B48" s="813"/>
      <c r="C48" s="813"/>
      <c r="D48" s="813"/>
      <c r="E48" s="813"/>
      <c r="F48" s="813"/>
      <c r="G48" s="813"/>
      <c r="H48" s="795"/>
      <c r="I48" s="1135"/>
      <c r="J48" s="1135"/>
      <c r="K48" s="1136"/>
    </row>
    <row r="49" spans="1:11" ht="18" customHeight="1" x14ac:dyDescent="0.25">
      <c r="A49" s="813"/>
      <c r="B49" s="813"/>
      <c r="C49" s="813"/>
      <c r="D49" s="813"/>
      <c r="E49" s="813"/>
      <c r="F49" s="813"/>
      <c r="G49" s="813"/>
      <c r="H49" s="795"/>
      <c r="I49" s="1135"/>
      <c r="J49" s="1135"/>
      <c r="K49" s="1136"/>
    </row>
    <row r="50" spans="1:11" s="54" customFormat="1" ht="16.5" customHeight="1" x14ac:dyDescent="0.2">
      <c r="A50" s="1707" t="s">
        <v>47</v>
      </c>
      <c r="B50" s="1707"/>
      <c r="C50" s="814"/>
      <c r="D50" s="814"/>
      <c r="E50" s="814"/>
      <c r="F50" s="814"/>
      <c r="G50" s="814"/>
      <c r="H50" s="814"/>
      <c r="I50" s="814"/>
      <c r="J50" s="815"/>
    </row>
    <row r="51" spans="1:11" s="54" customFormat="1" ht="16.5" customHeight="1" x14ac:dyDescent="0.2">
      <c r="A51" s="816"/>
      <c r="B51" s="814"/>
      <c r="C51" s="814"/>
      <c r="D51" s="814"/>
      <c r="E51" s="814"/>
      <c r="F51" s="814"/>
      <c r="G51" s="814"/>
      <c r="H51" s="814"/>
      <c r="I51" s="814"/>
      <c r="J51" s="815"/>
    </row>
    <row r="52" spans="1:11" s="54" customFormat="1" ht="18" customHeight="1" x14ac:dyDescent="0.2">
      <c r="A52" s="814"/>
      <c r="B52" s="817"/>
      <c r="C52" s="1705" t="s">
        <v>46</v>
      </c>
      <c r="D52" s="1705"/>
      <c r="E52" s="1705"/>
      <c r="F52" s="1705"/>
      <c r="G52" s="1705"/>
      <c r="H52" s="1705"/>
      <c r="I52" s="1705"/>
      <c r="J52" s="1705"/>
      <c r="K52" s="1705"/>
    </row>
    <row r="53" spans="1:11" s="54" customFormat="1" ht="12" customHeight="1" x14ac:dyDescent="0.25">
      <c r="A53" s="818"/>
      <c r="B53" s="818"/>
      <c r="C53" s="819"/>
      <c r="D53" s="819"/>
      <c r="E53" s="819"/>
      <c r="F53" s="819"/>
      <c r="G53" s="801"/>
      <c r="H53" s="795"/>
      <c r="I53" s="820"/>
      <c r="J53" s="820"/>
      <c r="K53" s="801"/>
    </row>
    <row r="54" spans="1:11" s="54" customFormat="1" ht="18" customHeight="1" x14ac:dyDescent="0.2">
      <c r="A54" s="814"/>
      <c r="B54" s="821"/>
      <c r="C54" s="1682" t="s">
        <v>374</v>
      </c>
      <c r="D54" s="1682"/>
      <c r="E54" s="1682"/>
      <c r="F54" s="1682"/>
      <c r="G54" s="1682"/>
      <c r="H54" s="1682"/>
      <c r="I54" s="1682"/>
      <c r="J54" s="1682"/>
      <c r="K54" s="1682"/>
    </row>
    <row r="55" spans="1:11" s="54" customFormat="1" ht="18" customHeight="1" x14ac:dyDescent="0.2">
      <c r="A55" s="814"/>
      <c r="B55" s="821"/>
      <c r="C55" s="1682"/>
      <c r="D55" s="1682"/>
      <c r="E55" s="1682"/>
      <c r="F55" s="1682"/>
      <c r="G55" s="1682"/>
      <c r="H55" s="1682"/>
      <c r="I55" s="1682"/>
      <c r="J55" s="1682"/>
      <c r="K55" s="1682"/>
    </row>
    <row r="56" spans="1:11" s="54" customFormat="1" ht="15.95" customHeight="1" x14ac:dyDescent="0.2">
      <c r="A56" s="814"/>
      <c r="B56" s="821"/>
      <c r="C56" s="822"/>
      <c r="D56" s="822"/>
      <c r="E56" s="822"/>
      <c r="F56" s="822"/>
      <c r="G56" s="822"/>
      <c r="H56" s="822"/>
      <c r="I56" s="822"/>
      <c r="J56" s="822"/>
      <c r="K56" s="77"/>
    </row>
    <row r="57" spans="1:11" s="54" customFormat="1" ht="18" customHeight="1" x14ac:dyDescent="0.2">
      <c r="A57" s="814"/>
      <c r="B57" s="814"/>
      <c r="C57" s="1692" t="s">
        <v>55</v>
      </c>
      <c r="D57" s="1692"/>
      <c r="E57" s="1692"/>
      <c r="F57" s="1692"/>
      <c r="G57" s="1692"/>
      <c r="H57" s="1692"/>
      <c r="I57" s="1692"/>
      <c r="J57" s="1692"/>
      <c r="K57" s="1692"/>
    </row>
    <row r="58" spans="1:11" s="54" customFormat="1" ht="15.95" customHeight="1" x14ac:dyDescent="0.2">
      <c r="A58" s="814"/>
      <c r="B58" s="814"/>
      <c r="C58" s="812"/>
      <c r="D58" s="812"/>
      <c r="E58" s="812"/>
      <c r="F58" s="812"/>
      <c r="G58" s="812"/>
      <c r="H58" s="812"/>
      <c r="I58" s="812"/>
      <c r="J58" s="812"/>
      <c r="K58" s="77"/>
    </row>
    <row r="59" spans="1:11" s="54" customFormat="1" ht="18" customHeight="1" x14ac:dyDescent="0.2">
      <c r="A59" s="814"/>
      <c r="B59" s="814"/>
      <c r="C59" s="1704" t="s">
        <v>375</v>
      </c>
      <c r="D59" s="1704"/>
      <c r="E59" s="1704"/>
      <c r="F59" s="1704"/>
      <c r="G59" s="1704"/>
      <c r="H59" s="1704"/>
      <c r="I59" s="1704"/>
      <c r="J59" s="1704"/>
      <c r="K59" s="1704"/>
    </row>
    <row r="60" spans="1:11" s="54" customFormat="1" ht="15.95" customHeight="1" x14ac:dyDescent="0.2">
      <c r="A60" s="814"/>
      <c r="B60" s="814"/>
      <c r="C60" s="822"/>
      <c r="D60" s="822"/>
      <c r="E60" s="822"/>
      <c r="F60" s="822"/>
      <c r="G60" s="822"/>
      <c r="H60" s="822"/>
      <c r="I60" s="822"/>
      <c r="J60" s="822"/>
      <c r="K60" s="77"/>
    </row>
    <row r="61" spans="1:11" s="54" customFormat="1" ht="18" customHeight="1" x14ac:dyDescent="0.2">
      <c r="A61" s="814"/>
      <c r="B61" s="814"/>
      <c r="C61" s="1704" t="s">
        <v>56</v>
      </c>
      <c r="D61" s="1704"/>
      <c r="E61" s="1704"/>
      <c r="F61" s="1704"/>
      <c r="G61" s="1704"/>
      <c r="H61" s="1704"/>
      <c r="I61" s="1704"/>
      <c r="J61" s="1704"/>
      <c r="K61" s="1704"/>
    </row>
    <row r="62" spans="1:11" s="54" customFormat="1" ht="15.95" customHeight="1" x14ac:dyDescent="0.2">
      <c r="A62" s="814"/>
      <c r="B62" s="814"/>
      <c r="C62" s="1704"/>
      <c r="D62" s="1704"/>
      <c r="E62" s="1704"/>
      <c r="F62" s="1704"/>
      <c r="G62" s="1704"/>
      <c r="H62" s="1704"/>
      <c r="I62" s="1704"/>
      <c r="J62" s="1704"/>
      <c r="K62" s="77"/>
    </row>
    <row r="63" spans="1:11" s="54" customFormat="1" ht="18" customHeight="1" x14ac:dyDescent="0.2">
      <c r="A63" s="814"/>
      <c r="B63" s="54" t="s">
        <v>12</v>
      </c>
      <c r="C63" s="1704" t="s">
        <v>57</v>
      </c>
      <c r="D63" s="1704"/>
      <c r="E63" s="1704"/>
      <c r="F63" s="1704"/>
      <c r="G63" s="1704"/>
      <c r="H63" s="1704"/>
      <c r="I63" s="1704"/>
      <c r="J63" s="1704"/>
      <c r="K63" s="1704"/>
    </row>
    <row r="64" spans="1:11" s="54" customFormat="1" ht="15.95" customHeight="1" x14ac:dyDescent="0.2">
      <c r="A64" s="814"/>
      <c r="C64" s="1704"/>
      <c r="D64" s="1704"/>
      <c r="E64" s="1704"/>
      <c r="F64" s="1704"/>
      <c r="G64" s="1704"/>
      <c r="H64" s="1704"/>
      <c r="I64" s="1704"/>
      <c r="J64" s="1704"/>
      <c r="K64" s="77"/>
    </row>
    <row r="65" spans="1:13" s="54" customFormat="1" ht="18" customHeight="1" x14ac:dyDescent="0.2">
      <c r="A65" s="814"/>
      <c r="B65" s="814"/>
      <c r="C65" s="1704" t="s">
        <v>58</v>
      </c>
      <c r="D65" s="1704"/>
      <c r="E65" s="1704"/>
      <c r="F65" s="1704"/>
      <c r="G65" s="1704"/>
      <c r="H65" s="1704"/>
      <c r="I65" s="1704"/>
      <c r="J65" s="1704"/>
      <c r="K65" s="1704"/>
    </row>
    <row r="66" spans="1:13" s="54" customFormat="1" ht="15.95" customHeight="1" x14ac:dyDescent="0.2">
      <c r="A66" s="814"/>
      <c r="B66" s="814"/>
      <c r="C66" s="1704"/>
      <c r="D66" s="1704"/>
      <c r="E66" s="1704"/>
      <c r="F66" s="1704"/>
      <c r="G66" s="1704"/>
      <c r="H66" s="1704"/>
      <c r="I66" s="1704"/>
      <c r="J66" s="1704"/>
      <c r="K66" s="77"/>
    </row>
    <row r="67" spans="1:13" s="54" customFormat="1" ht="18" customHeight="1" x14ac:dyDescent="0.2">
      <c r="A67" s="814"/>
      <c r="B67" s="814"/>
      <c r="C67" s="1704" t="s">
        <v>59</v>
      </c>
      <c r="D67" s="1704"/>
      <c r="E67" s="1704"/>
      <c r="F67" s="1704"/>
      <c r="G67" s="1704"/>
      <c r="H67" s="1704"/>
      <c r="I67" s="1704"/>
      <c r="J67" s="1704"/>
      <c r="K67" s="1704"/>
    </row>
    <row r="68" spans="1:13" s="54" customFormat="1" ht="15.95" customHeight="1" x14ac:dyDescent="0.2">
      <c r="A68" s="814"/>
      <c r="B68" s="814"/>
      <c r="C68" s="1704"/>
      <c r="D68" s="1704"/>
      <c r="E68" s="1704"/>
      <c r="F68" s="1704"/>
      <c r="G68" s="1704"/>
      <c r="H68" s="1704"/>
      <c r="I68" s="1704"/>
      <c r="J68" s="1704"/>
      <c r="K68" s="77"/>
    </row>
    <row r="69" spans="1:13" s="54" customFormat="1" ht="18" customHeight="1" x14ac:dyDescent="0.2">
      <c r="A69" s="814"/>
      <c r="B69" s="814"/>
      <c r="C69" s="1704" t="s">
        <v>60</v>
      </c>
      <c r="D69" s="1704"/>
      <c r="E69" s="1704"/>
      <c r="F69" s="1704"/>
      <c r="G69" s="1704"/>
      <c r="H69" s="1704"/>
      <c r="I69" s="1704"/>
      <c r="J69" s="1704"/>
      <c r="K69" s="1704"/>
    </row>
    <row r="70" spans="1:13" s="54" customFormat="1" ht="15.95" customHeight="1" x14ac:dyDescent="0.2">
      <c r="A70" s="814"/>
      <c r="B70" s="814"/>
      <c r="C70" s="1704"/>
      <c r="D70" s="1704"/>
      <c r="E70" s="1704"/>
      <c r="F70" s="1704"/>
      <c r="G70" s="1704"/>
      <c r="H70" s="1704"/>
      <c r="I70" s="1704"/>
      <c r="J70" s="1704"/>
      <c r="K70" s="77"/>
    </row>
    <row r="71" spans="1:13" s="54" customFormat="1" ht="18" customHeight="1" x14ac:dyDescent="0.2">
      <c r="A71" s="814"/>
      <c r="B71" s="814"/>
      <c r="C71" s="1704" t="s">
        <v>571</v>
      </c>
      <c r="D71" s="1704"/>
      <c r="E71" s="1704"/>
      <c r="F71" s="1704"/>
      <c r="G71" s="1704"/>
      <c r="H71" s="1704"/>
      <c r="I71" s="1704"/>
      <c r="J71" s="1704"/>
      <c r="K71" s="77"/>
    </row>
    <row r="72" spans="1:13" s="54" customFormat="1" ht="15.95" customHeight="1" x14ac:dyDescent="0.25">
      <c r="A72" s="814"/>
      <c r="B72" s="814"/>
      <c r="C72" s="1704"/>
      <c r="D72" s="1704"/>
      <c r="E72" s="1704"/>
      <c r="F72" s="1704"/>
      <c r="G72" s="1704"/>
      <c r="H72" s="1704"/>
      <c r="I72" s="1704"/>
      <c r="J72" s="1704"/>
      <c r="K72" s="77"/>
      <c r="L72" s="793"/>
      <c r="M72" s="793"/>
    </row>
    <row r="73" spans="1:13" s="54" customFormat="1" ht="18" customHeight="1" x14ac:dyDescent="0.25">
      <c r="A73" s="814"/>
      <c r="B73" s="814"/>
      <c r="C73" s="1726" t="s">
        <v>572</v>
      </c>
      <c r="D73" s="1726"/>
      <c r="E73" s="1726"/>
      <c r="F73" s="1726"/>
      <c r="G73" s="1726"/>
      <c r="H73" s="1726"/>
      <c r="I73" s="823"/>
      <c r="J73" s="823"/>
      <c r="K73" s="77"/>
      <c r="L73" s="793"/>
      <c r="M73" s="793"/>
    </row>
    <row r="74" spans="1:13" s="54" customFormat="1" ht="15.95" customHeight="1" x14ac:dyDescent="0.25">
      <c r="A74" s="814"/>
      <c r="B74" s="814"/>
      <c r="C74" s="823"/>
      <c r="D74" s="823"/>
      <c r="E74" s="823"/>
      <c r="F74" s="823"/>
      <c r="G74" s="823"/>
      <c r="H74" s="823"/>
      <c r="I74" s="823"/>
      <c r="J74" s="823"/>
      <c r="K74" s="77"/>
      <c r="L74" s="793"/>
      <c r="M74" s="793"/>
    </row>
    <row r="75" spans="1:13" s="54" customFormat="1" ht="18" customHeight="1" x14ac:dyDescent="0.25">
      <c r="A75" s="814"/>
      <c r="B75" s="814"/>
      <c r="C75" s="1726" t="s">
        <v>573</v>
      </c>
      <c r="D75" s="1726"/>
      <c r="E75" s="1726"/>
      <c r="F75" s="1726"/>
      <c r="G75" s="1726"/>
      <c r="H75" s="1726"/>
      <c r="I75" s="823"/>
      <c r="J75" s="823"/>
      <c r="K75" s="77"/>
      <c r="L75" s="793"/>
      <c r="M75" s="793"/>
    </row>
    <row r="76" spans="1:13" s="54" customFormat="1" ht="16.5" customHeight="1" x14ac:dyDescent="0.25">
      <c r="A76" s="814"/>
      <c r="B76" s="814"/>
      <c r="C76" s="815"/>
      <c r="D76" s="815"/>
      <c r="E76" s="815"/>
      <c r="F76" s="815"/>
      <c r="G76" s="815"/>
      <c r="H76" s="815"/>
      <c r="I76" s="824"/>
      <c r="J76" s="824"/>
      <c r="K76" s="793"/>
      <c r="L76" s="793"/>
      <c r="M76" s="793"/>
    </row>
    <row r="77" spans="1:13" ht="15.95" customHeight="1" x14ac:dyDescent="0.25">
      <c r="A77" s="814"/>
      <c r="B77" s="814"/>
      <c r="C77" s="815"/>
      <c r="D77" s="815"/>
      <c r="E77" s="815"/>
      <c r="F77" s="815"/>
      <c r="G77" s="815"/>
      <c r="H77" s="815"/>
      <c r="I77" s="824"/>
      <c r="J77" s="824"/>
    </row>
    <row r="78" spans="1:13" ht="20.100000000000001" customHeight="1" x14ac:dyDescent="0.25">
      <c r="A78" s="1683" t="s">
        <v>443</v>
      </c>
      <c r="B78" s="1683"/>
      <c r="C78" s="1683"/>
      <c r="D78" s="1683"/>
      <c r="E78" s="1683"/>
      <c r="F78" s="809"/>
      <c r="G78" s="809"/>
    </row>
    <row r="79" spans="1:13" ht="12" customHeight="1" x14ac:dyDescent="0.25">
      <c r="A79" s="825"/>
      <c r="B79" s="825"/>
      <c r="C79" s="825"/>
      <c r="D79" s="825"/>
      <c r="E79" s="825"/>
      <c r="F79" s="809"/>
      <c r="G79" s="809"/>
      <c r="H79" s="809"/>
      <c r="I79" s="809"/>
      <c r="J79" s="826"/>
    </row>
    <row r="80" spans="1:13" ht="15" customHeight="1" x14ac:dyDescent="0.25">
      <c r="A80" s="1692" t="s">
        <v>444</v>
      </c>
      <c r="B80" s="1692"/>
      <c r="C80" s="1692"/>
      <c r="D80" s="1692"/>
      <c r="E80" s="1692"/>
      <c r="F80" s="1692"/>
      <c r="G80" s="1692"/>
      <c r="H80" s="1692"/>
      <c r="I80" s="1692"/>
      <c r="J80" s="1692"/>
      <c r="K80" s="1692"/>
    </row>
    <row r="81" spans="1:12" ht="12" customHeight="1" thickBot="1" x14ac:dyDescent="0.3">
      <c r="A81" s="806"/>
      <c r="B81" s="806"/>
      <c r="C81" s="806"/>
      <c r="D81" s="806"/>
      <c r="E81" s="806"/>
      <c r="F81" s="806"/>
      <c r="G81" s="806"/>
      <c r="H81" s="806"/>
      <c r="I81" s="806"/>
      <c r="J81" s="812"/>
      <c r="K81" s="77"/>
    </row>
    <row r="82" spans="1:12" ht="16.5" customHeight="1" thickBot="1" x14ac:dyDescent="0.3">
      <c r="A82" s="806"/>
      <c r="B82" s="1687" t="s">
        <v>335</v>
      </c>
      <c r="C82" s="1688"/>
      <c r="D82" s="1689" t="s">
        <v>40</v>
      </c>
      <c r="E82" s="1690"/>
      <c r="F82" s="1690"/>
      <c r="G82" s="1689" t="s">
        <v>41</v>
      </c>
      <c r="H82" s="1690"/>
      <c r="I82" s="1691"/>
      <c r="J82" s="812"/>
      <c r="K82" s="77"/>
      <c r="L82" s="827"/>
    </row>
    <row r="83" spans="1:12" ht="30" customHeight="1" thickBot="1" x14ac:dyDescent="0.3">
      <c r="A83" s="1114"/>
      <c r="B83" s="1736" t="e">
        <f>'RT03-F11° '!P37</f>
        <v>#DIV/0!</v>
      </c>
      <c r="C83" s="1737"/>
      <c r="D83" s="1693" t="e">
        <f>'RT03-F11° '!P38</f>
        <v>#DIV/0!</v>
      </c>
      <c r="E83" s="1694"/>
      <c r="F83" s="1695"/>
      <c r="G83" s="1733" t="e">
        <f>'RT03-F11° '!P39</f>
        <v>#DIV/0!</v>
      </c>
      <c r="H83" s="1734"/>
      <c r="I83" s="1735"/>
      <c r="J83" s="812"/>
      <c r="K83" s="77"/>
    </row>
    <row r="84" spans="1:12" ht="15.95" customHeight="1" x14ac:dyDescent="0.25">
      <c r="A84" s="809"/>
      <c r="B84" s="809"/>
      <c r="C84" s="803"/>
      <c r="D84" s="809"/>
      <c r="E84" s="809"/>
      <c r="F84" s="809"/>
      <c r="G84" s="809"/>
      <c r="H84" s="809"/>
      <c r="I84" s="809"/>
      <c r="J84" s="826"/>
    </row>
    <row r="85" spans="1:12" ht="20.100000000000001" customHeight="1" x14ac:dyDescent="0.25">
      <c r="A85" s="1683" t="s">
        <v>445</v>
      </c>
      <c r="B85" s="1683"/>
      <c r="C85" s="1683"/>
      <c r="D85" s="1683"/>
      <c r="E85" s="1683"/>
      <c r="F85" s="806"/>
      <c r="G85" s="806"/>
      <c r="H85" s="806"/>
      <c r="I85" s="806"/>
      <c r="J85" s="828"/>
      <c r="K85" s="77"/>
    </row>
    <row r="86" spans="1:12" ht="12" customHeight="1" x14ac:dyDescent="0.25">
      <c r="A86" s="811"/>
      <c r="B86" s="806"/>
      <c r="C86" s="806"/>
      <c r="D86" s="806"/>
      <c r="E86" s="806"/>
      <c r="F86" s="806"/>
      <c r="G86" s="806"/>
      <c r="H86" s="806"/>
      <c r="I86" s="806"/>
      <c r="J86" s="812"/>
      <c r="K86" s="77"/>
    </row>
    <row r="87" spans="1:12" ht="21.75" customHeight="1" x14ac:dyDescent="0.25">
      <c r="A87" s="1696" t="s">
        <v>541</v>
      </c>
      <c r="B87" s="1696"/>
      <c r="C87" s="1696"/>
      <c r="D87" s="1696"/>
      <c r="E87" s="1696"/>
      <c r="F87" s="1696"/>
      <c r="G87" s="1696"/>
      <c r="H87" s="1696"/>
      <c r="I87" s="1696"/>
      <c r="J87" s="1696"/>
      <c r="K87" s="1696"/>
    </row>
    <row r="88" spans="1:12" ht="21.75" customHeight="1" x14ac:dyDescent="0.25">
      <c r="A88" s="1696"/>
      <c r="B88" s="1696"/>
      <c r="C88" s="1696"/>
      <c r="D88" s="1696"/>
      <c r="E88" s="1696"/>
      <c r="F88" s="1696"/>
      <c r="G88" s="1696"/>
      <c r="H88" s="1696"/>
      <c r="I88" s="1696"/>
      <c r="J88" s="1696"/>
      <c r="K88" s="1696"/>
    </row>
    <row r="89" spans="1:12" ht="15.95" customHeight="1" x14ac:dyDescent="0.25">
      <c r="A89" s="829"/>
      <c r="B89" s="829"/>
      <c r="C89" s="829"/>
      <c r="D89" s="829"/>
      <c r="E89" s="829"/>
      <c r="F89" s="829"/>
      <c r="G89" s="829"/>
      <c r="H89" s="829"/>
      <c r="I89" s="829"/>
      <c r="J89" s="829"/>
      <c r="K89" s="830"/>
    </row>
    <row r="90" spans="1:12" ht="120" customHeight="1" x14ac:dyDescent="0.25">
      <c r="A90" s="829"/>
      <c r="B90" s="829"/>
      <c r="C90" s="829"/>
      <c r="D90" s="829"/>
      <c r="E90" s="829"/>
      <c r="F90" s="829"/>
      <c r="G90" s="829"/>
      <c r="H90" s="829"/>
      <c r="I90" s="829"/>
      <c r="J90" s="829"/>
      <c r="K90" s="830"/>
    </row>
    <row r="91" spans="1:12" ht="15.95" customHeight="1" x14ac:dyDescent="0.25">
      <c r="A91" s="829"/>
      <c r="B91" s="829"/>
      <c r="C91" s="829"/>
      <c r="D91" s="829"/>
      <c r="E91" s="829"/>
      <c r="F91" s="829"/>
      <c r="G91" s="829"/>
      <c r="H91" s="795" t="s">
        <v>373</v>
      </c>
      <c r="I91" s="1651">
        <f>I6</f>
        <v>0</v>
      </c>
      <c r="J91" s="1651"/>
      <c r="K91" s="1651"/>
    </row>
    <row r="92" spans="1:12" s="831" customFormat="1" ht="20.100000000000001" customHeight="1" x14ac:dyDescent="0.3">
      <c r="A92" s="1683" t="s">
        <v>446</v>
      </c>
      <c r="B92" s="1683"/>
      <c r="C92" s="1683"/>
      <c r="D92" s="1683"/>
      <c r="E92" s="1683"/>
      <c r="F92" s="1024"/>
      <c r="G92" s="1024"/>
      <c r="H92" s="830"/>
      <c r="I92" s="830"/>
      <c r="J92" s="1025"/>
      <c r="K92" s="830"/>
    </row>
    <row r="93" spans="1:12" ht="12" customHeight="1" x14ac:dyDescent="0.25">
      <c r="A93" s="832"/>
      <c r="B93" s="832"/>
      <c r="C93" s="832"/>
      <c r="D93" s="832"/>
      <c r="E93" s="832"/>
      <c r="F93" s="806"/>
      <c r="G93" s="806"/>
      <c r="H93" s="77"/>
      <c r="I93" s="77"/>
      <c r="J93" s="812"/>
      <c r="K93" s="77"/>
    </row>
    <row r="94" spans="1:12" ht="51" customHeight="1" x14ac:dyDescent="0.25">
      <c r="A94" s="1696" t="s">
        <v>431</v>
      </c>
      <c r="B94" s="1696"/>
      <c r="C94" s="1696"/>
      <c r="D94" s="1696"/>
      <c r="E94" s="1696"/>
      <c r="F94" s="1696"/>
      <c r="G94" s="1696"/>
      <c r="H94" s="1696"/>
      <c r="I94" s="1696"/>
      <c r="J94" s="1696"/>
      <c r="K94" s="1696"/>
    </row>
    <row r="95" spans="1:12" ht="15.95" customHeight="1" thickBot="1" x14ac:dyDescent="0.3">
      <c r="A95" s="833"/>
      <c r="B95" s="833"/>
      <c r="C95" s="833"/>
      <c r="D95" s="833"/>
      <c r="E95" s="833"/>
      <c r="F95" s="833"/>
      <c r="G95" s="833"/>
      <c r="H95" s="833"/>
      <c r="I95" s="833"/>
      <c r="J95" s="833"/>
    </row>
    <row r="96" spans="1:12" ht="24.95" customHeight="1" thickBot="1" x14ac:dyDescent="0.3">
      <c r="A96" s="1684" t="s">
        <v>64</v>
      </c>
      <c r="B96" s="1685"/>
      <c r="C96" s="1686"/>
      <c r="D96" s="834" t="s">
        <v>44</v>
      </c>
      <c r="E96" s="1662" t="s">
        <v>432</v>
      </c>
      <c r="F96" s="1663"/>
      <c r="G96" s="1684" t="s">
        <v>65</v>
      </c>
      <c r="H96" s="1685"/>
      <c r="I96" s="1684" t="s">
        <v>66</v>
      </c>
      <c r="J96" s="1686"/>
      <c r="K96" s="835"/>
    </row>
    <row r="97" spans="1:13" ht="41.25" customHeight="1" x14ac:dyDescent="0.25">
      <c r="A97" s="1718" t="s">
        <v>493</v>
      </c>
      <c r="B97" s="1719"/>
      <c r="C97" s="1719"/>
      <c r="D97" s="1190" t="str">
        <f>DATOS°!D31</f>
        <v>Serhapin test Measure</v>
      </c>
      <c r="E97" s="1753" t="s">
        <v>574</v>
      </c>
      <c r="F97" s="1754"/>
      <c r="G97" s="1659" t="str">
        <f>DATOS°!E31</f>
        <v xml:space="preserve">16-5935702    C-I V-005         </v>
      </c>
      <c r="H97" s="1660"/>
      <c r="I97" s="1659" t="str">
        <f>DATOS°!L31</f>
        <v>INM 3688</v>
      </c>
      <c r="J97" s="1697"/>
      <c r="K97" s="835"/>
    </row>
    <row r="98" spans="1:13" ht="27" customHeight="1" x14ac:dyDescent="0.25">
      <c r="A98" s="1698" t="s">
        <v>412</v>
      </c>
      <c r="B98" s="1699"/>
      <c r="C98" s="1699"/>
      <c r="D98" s="1191" t="str">
        <f>DATOS°!D38</f>
        <v xml:space="preserve">Lufft </v>
      </c>
      <c r="E98" s="1665" t="s">
        <v>590</v>
      </c>
      <c r="F98" s="1666"/>
      <c r="G98" s="1700" t="str">
        <f>DATOS°!E44</f>
        <v xml:space="preserve">004,0816,1212,006 / pt 347980,002     </v>
      </c>
      <c r="H98" s="1701"/>
      <c r="I98" s="1700" t="str">
        <f>DATOS°!L44</f>
        <v>INM 3934</v>
      </c>
      <c r="J98" s="1703"/>
      <c r="K98" s="835"/>
    </row>
    <row r="99" spans="1:13" ht="27" customHeight="1" x14ac:dyDescent="0.25">
      <c r="A99" s="1698" t="s">
        <v>413</v>
      </c>
      <c r="B99" s="1699"/>
      <c r="C99" s="1699"/>
      <c r="D99" s="1191" t="str">
        <f>DATOS°!D44</f>
        <v xml:space="preserve">Lufft </v>
      </c>
      <c r="E99" s="1665" t="s">
        <v>590</v>
      </c>
      <c r="F99" s="1666"/>
      <c r="G99" s="1700" t="str">
        <f>DATOS°!E38</f>
        <v xml:space="preserve">22,1014,1212,,005 / pt 347980,004     </v>
      </c>
      <c r="H99" s="1701"/>
      <c r="I99" s="1700" t="str">
        <f>DATOS°!L38</f>
        <v>INM 3933</v>
      </c>
      <c r="J99" s="1703"/>
      <c r="K99" s="835"/>
    </row>
    <row r="100" spans="1:13" ht="27" customHeight="1" thickBot="1" x14ac:dyDescent="0.3">
      <c r="A100" s="1751" t="s">
        <v>32</v>
      </c>
      <c r="B100" s="1752"/>
      <c r="C100" s="1752"/>
      <c r="D100" s="1121" t="e">
        <f>VLOOKUP(K100,DATOS°!$C$112:$L$118,2,FALSE)</f>
        <v>#N/A</v>
      </c>
      <c r="E100" s="1667" t="e">
        <f>VLOOKUP(K100,DATOS°!$C$112:$M$118,11,FALSE)</f>
        <v>#N/A</v>
      </c>
      <c r="F100" s="1668"/>
      <c r="G100" s="1710" t="e">
        <f>VLOOKUP(K100,DATOS°!$C$112:$L$118,3,FALSE)</f>
        <v>#N/A</v>
      </c>
      <c r="H100" s="1711"/>
      <c r="I100" s="1712" t="e">
        <f>VLOOKUP(K100,DATOS°!$C$112:$L$118,10,FALSE)</f>
        <v>#N/A</v>
      </c>
      <c r="J100" s="1713"/>
      <c r="K100" s="836"/>
    </row>
    <row r="101" spans="1:13" ht="15.95" customHeight="1" x14ac:dyDescent="0.25">
      <c r="B101" s="802"/>
      <c r="C101" s="802"/>
      <c r="D101" s="837"/>
      <c r="E101" s="837"/>
      <c r="F101" s="803"/>
      <c r="G101" s="837"/>
      <c r="H101" s="837"/>
      <c r="I101" s="837"/>
      <c r="J101" s="837"/>
      <c r="K101" s="838"/>
      <c r="L101" s="838"/>
      <c r="M101" s="838"/>
    </row>
    <row r="102" spans="1:13" s="831" customFormat="1" ht="20.100000000000001" customHeight="1" x14ac:dyDescent="0.3">
      <c r="A102" s="1683" t="s">
        <v>447</v>
      </c>
      <c r="B102" s="1683"/>
      <c r="C102" s="1683"/>
      <c r="D102" s="1683"/>
      <c r="E102" s="1683"/>
      <c r="F102" s="1683"/>
      <c r="G102" s="1683"/>
      <c r="H102" s="1683"/>
      <c r="I102" s="1683"/>
      <c r="J102" s="1683"/>
      <c r="K102" s="1683"/>
      <c r="L102" s="839"/>
      <c r="M102" s="839"/>
    </row>
    <row r="103" spans="1:13" s="831" customFormat="1" ht="12" customHeight="1" x14ac:dyDescent="0.3">
      <c r="A103" s="840"/>
      <c r="B103" s="840"/>
      <c r="C103" s="840"/>
      <c r="D103" s="840"/>
      <c r="E103" s="840"/>
      <c r="F103" s="818"/>
      <c r="G103" s="818"/>
      <c r="H103" s="818"/>
      <c r="I103" s="818"/>
      <c r="J103" s="841"/>
      <c r="K103" s="839"/>
      <c r="L103" s="839"/>
      <c r="M103" s="839"/>
    </row>
    <row r="104" spans="1:13" ht="15" customHeight="1" thickBot="1" x14ac:dyDescent="0.3">
      <c r="A104" s="1702" t="s">
        <v>376</v>
      </c>
      <c r="B104" s="1702"/>
      <c r="C104" s="1702"/>
      <c r="D104" s="1702"/>
      <c r="E104" s="1702"/>
      <c r="F104" s="1702"/>
      <c r="G104" s="1702"/>
      <c r="H104" s="1702"/>
      <c r="I104" s="1702"/>
      <c r="J104" s="841"/>
      <c r="K104" s="838"/>
      <c r="L104" s="838"/>
      <c r="M104" s="838"/>
    </row>
    <row r="105" spans="1:13" ht="39.950000000000003" customHeight="1" thickBot="1" x14ac:dyDescent="0.3">
      <c r="A105" s="1662" t="s">
        <v>33</v>
      </c>
      <c r="B105" s="1663"/>
      <c r="C105" s="1662" t="s">
        <v>34</v>
      </c>
      <c r="D105" s="1664"/>
      <c r="E105" s="1663"/>
      <c r="F105" s="1662" t="s">
        <v>408</v>
      </c>
      <c r="G105" s="1663"/>
      <c r="H105" s="842" t="s">
        <v>494</v>
      </c>
      <c r="I105" s="1026"/>
      <c r="J105" s="1158" t="s">
        <v>595</v>
      </c>
      <c r="K105" s="1157" t="s">
        <v>596</v>
      </c>
    </row>
    <row r="106" spans="1:13" s="838" customFormat="1" ht="24.95" customHeight="1" thickBot="1" x14ac:dyDescent="0.3">
      <c r="A106" s="1720" t="e">
        <f>'RT03-F11° '!$F$29</f>
        <v>#N/A</v>
      </c>
      <c r="B106" s="1721"/>
      <c r="C106" s="1669">
        <f>'RT03-F11° '!M30</f>
        <v>18927.055</v>
      </c>
      <c r="D106" s="1669"/>
      <c r="E106" s="843" t="s">
        <v>4</v>
      </c>
      <c r="F106" s="1125" t="e">
        <f>'RT03-F11° '!C121</f>
        <v>#N/A</v>
      </c>
      <c r="G106" s="844" t="s">
        <v>4</v>
      </c>
      <c r="H106" s="845" t="e">
        <f>IF('RT03-F11° '!F121&lt;=(DATOS°!Q152),"6,3","AJUSTAR")</f>
        <v>#N/A</v>
      </c>
      <c r="I106" s="844" t="s">
        <v>4</v>
      </c>
      <c r="J106" s="1161" t="e">
        <f>'RT03-F11° '!I121</f>
        <v>#N/A</v>
      </c>
      <c r="K106" s="1747" t="e">
        <f>IF('RT03-F11° '!I121+'RT03-F11° '!F121&lt;=('RT03-F14°'!F120),"CUMPLE","NO CUMPLE")</f>
        <v>#N/A</v>
      </c>
    </row>
    <row r="107" spans="1:13" s="838" customFormat="1" ht="24.95" customHeight="1" thickBot="1" x14ac:dyDescent="0.3">
      <c r="A107" s="1722"/>
      <c r="B107" s="1723"/>
      <c r="C107" s="1669">
        <f>'RT03-F11° '!M28</f>
        <v>1155.0000427166315</v>
      </c>
      <c r="D107" s="1669"/>
      <c r="E107" s="846" t="s">
        <v>524</v>
      </c>
      <c r="F107" s="1126" t="e">
        <f>'RT03-F11° '!C122</f>
        <v>#N/A</v>
      </c>
      <c r="G107" s="847" t="s">
        <v>524</v>
      </c>
      <c r="H107" s="845" t="e">
        <f>IF('RT03-F11° '!F122&lt;=(DATOS°!R152),"0,38","AJUSTAR")</f>
        <v>#N/A</v>
      </c>
      <c r="I107" s="847" t="s">
        <v>524</v>
      </c>
      <c r="J107" s="1162" t="e">
        <f>'RT03-F11° '!I122</f>
        <v>#N/A</v>
      </c>
      <c r="K107" s="1748"/>
    </row>
    <row r="108" spans="1:13" s="838" customFormat="1" ht="24.95" customHeight="1" thickBot="1" x14ac:dyDescent="0.3">
      <c r="A108" s="1722"/>
      <c r="B108" s="1723"/>
      <c r="C108" s="1714">
        <f>'RT03-F11° '!M27</f>
        <v>5</v>
      </c>
      <c r="D108" s="1715"/>
      <c r="E108" s="846" t="s">
        <v>9</v>
      </c>
      <c r="F108" s="848" t="e">
        <f>'RT03-F11° '!C123</f>
        <v>#N/A</v>
      </c>
      <c r="G108" s="847" t="s">
        <v>9</v>
      </c>
      <c r="H108" s="845" t="e">
        <f>IF('RT03-F11° '!F123&lt;=(DATOS°!S152),"0,0017","AJUSTAR")</f>
        <v>#N/A</v>
      </c>
      <c r="I108" s="847" t="s">
        <v>9</v>
      </c>
      <c r="J108" s="1163" t="e">
        <f>'RT03-F11° '!I123</f>
        <v>#N/A</v>
      </c>
      <c r="K108" s="1748"/>
    </row>
    <row r="109" spans="1:13" ht="24" customHeight="1" thickBot="1" x14ac:dyDescent="0.3">
      <c r="A109" s="1724"/>
      <c r="B109" s="1725"/>
      <c r="C109" s="1653">
        <v>100</v>
      </c>
      <c r="D109" s="1654"/>
      <c r="E109" s="846" t="s">
        <v>336</v>
      </c>
      <c r="F109" s="1124" t="e">
        <f>'RT03-F11° '!C124</f>
        <v>#N/A</v>
      </c>
      <c r="G109" s="846" t="s">
        <v>336</v>
      </c>
      <c r="H109" s="845" t="e">
        <f>IF('RT03-F11° '!F123&lt;=(DATOS°!S152),"0,063","AJUSTAR")</f>
        <v>#N/A</v>
      </c>
      <c r="I109" s="847" t="s">
        <v>336</v>
      </c>
      <c r="J109" s="1164" t="e">
        <f>'RT03-F11° '!I124</f>
        <v>#N/A</v>
      </c>
      <c r="K109" s="1749"/>
    </row>
    <row r="110" spans="1:13" ht="15.95" customHeight="1" x14ac:dyDescent="0.25">
      <c r="A110" s="849"/>
      <c r="B110" s="850"/>
      <c r="C110" s="851"/>
      <c r="D110" s="851"/>
      <c r="E110" s="3"/>
      <c r="F110" s="852"/>
      <c r="G110" s="3"/>
      <c r="H110" s="853"/>
      <c r="I110" s="853"/>
      <c r="J110" s="853"/>
      <c r="K110" s="853"/>
      <c r="L110" s="853"/>
      <c r="M110" s="853"/>
    </row>
    <row r="111" spans="1:13" ht="15" customHeight="1" thickBot="1" x14ac:dyDescent="0.3">
      <c r="A111" s="854" t="s">
        <v>409</v>
      </c>
      <c r="B111" s="854"/>
      <c r="C111" s="854"/>
      <c r="D111" s="854"/>
      <c r="E111" s="854"/>
      <c r="F111" s="854"/>
      <c r="G111" s="854"/>
      <c r="H111" s="854"/>
      <c r="I111" s="854"/>
      <c r="J111" s="854"/>
      <c r="K111" s="854"/>
      <c r="L111" s="854"/>
      <c r="M111" s="854"/>
    </row>
    <row r="112" spans="1:13" s="835" customFormat="1" ht="39.950000000000003" customHeight="1" thickBot="1" x14ac:dyDescent="0.25">
      <c r="A112" s="855" t="s">
        <v>33</v>
      </c>
      <c r="B112" s="856"/>
      <c r="C112" s="855" t="s">
        <v>34</v>
      </c>
      <c r="D112" s="856"/>
      <c r="E112" s="855"/>
      <c r="F112" s="1662" t="s">
        <v>408</v>
      </c>
      <c r="G112" s="1664"/>
      <c r="H112" s="842" t="s">
        <v>593</v>
      </c>
      <c r="I112" s="1026"/>
      <c r="J112" s="1158" t="s">
        <v>597</v>
      </c>
      <c r="K112" s="1157" t="s">
        <v>598</v>
      </c>
    </row>
    <row r="113" spans="1:11" ht="24.95" customHeight="1" thickBot="1" x14ac:dyDescent="0.3">
      <c r="A113" s="1720" t="e">
        <f>A106</f>
        <v>#N/A</v>
      </c>
      <c r="B113" s="1721"/>
      <c r="C113" s="1669">
        <f>C106</f>
        <v>18927.055</v>
      </c>
      <c r="D113" s="1669"/>
      <c r="E113" s="846" t="s">
        <v>4</v>
      </c>
      <c r="F113" s="1125" t="e">
        <f>'CALIBRACION DESPUES DE AJUSTE°'!C121</f>
        <v>#N/A</v>
      </c>
      <c r="G113" s="858" t="s">
        <v>4</v>
      </c>
      <c r="H113" s="857" t="e">
        <f>IF('RT03-F11° '!F121&lt;=(DATOS°!Q152),"6,3","AJUSTAR")</f>
        <v>#N/A</v>
      </c>
      <c r="I113" s="846" t="s">
        <v>4</v>
      </c>
      <c r="J113" s="1161" t="e">
        <f>'CALIBRACION DESPUES DE AJUSTE°'!I121</f>
        <v>#N/A</v>
      </c>
      <c r="K113" s="1744" t="e">
        <f>IF('CALIBRACION DESPUES DE AJUSTE°'!I121+'CALIBRACION DESPUES DE AJUSTE°'!F121&lt;=('RT03-F14°'!F120),"CUMPLE","NO CUMPLE")</f>
        <v>#N/A</v>
      </c>
    </row>
    <row r="114" spans="1:11" ht="24.95" customHeight="1" thickBot="1" x14ac:dyDescent="0.3">
      <c r="A114" s="1722"/>
      <c r="B114" s="1723"/>
      <c r="C114" s="1669">
        <f>C107</f>
        <v>1155.0000427166315</v>
      </c>
      <c r="D114" s="1669"/>
      <c r="E114" s="846" t="s">
        <v>524</v>
      </c>
      <c r="F114" s="1126" t="e">
        <f>'CALIBRACION DESPUES DE AJUSTE°'!C122</f>
        <v>#N/A</v>
      </c>
      <c r="G114" s="858" t="s">
        <v>524</v>
      </c>
      <c r="H114" s="857" t="e">
        <f>IF('RT03-F11° '!F122&lt;=(DATOS°!R152),"0,38","AJUSTAR")</f>
        <v>#N/A</v>
      </c>
      <c r="I114" s="846" t="s">
        <v>524</v>
      </c>
      <c r="J114" s="1162" t="e">
        <f>'CALIBRACION DESPUES DE AJUSTE°'!I122</f>
        <v>#N/A</v>
      </c>
      <c r="K114" s="1745"/>
    </row>
    <row r="115" spans="1:11" ht="24.95" customHeight="1" thickBot="1" x14ac:dyDescent="0.3">
      <c r="A115" s="1722"/>
      <c r="B115" s="1723"/>
      <c r="C115" s="1192">
        <f>C108</f>
        <v>5</v>
      </c>
      <c r="D115" s="1193"/>
      <c r="E115" s="846" t="s">
        <v>9</v>
      </c>
      <c r="F115" s="1047" t="e">
        <f>'CALIBRACION DESPUES DE AJUSTE°'!C123</f>
        <v>#N/A</v>
      </c>
      <c r="G115" s="858" t="s">
        <v>9</v>
      </c>
      <c r="H115" s="857" t="e">
        <f>IF('RT03-F11° '!F123&lt;=(DATOS°!S152),"0,0017","AJUSTAR")</f>
        <v>#N/A</v>
      </c>
      <c r="I115" s="846" t="s">
        <v>9</v>
      </c>
      <c r="J115" s="1163" t="e">
        <f>'CALIBRACION DESPUES DE AJUSTE°'!I123</f>
        <v>#N/A</v>
      </c>
      <c r="K115" s="1745"/>
    </row>
    <row r="116" spans="1:11" ht="22.5" customHeight="1" thickBot="1" x14ac:dyDescent="0.3">
      <c r="A116" s="1724"/>
      <c r="B116" s="1725"/>
      <c r="C116" s="1653">
        <v>100</v>
      </c>
      <c r="D116" s="1654"/>
      <c r="E116" s="1122" t="s">
        <v>336</v>
      </c>
      <c r="F116" s="1124" t="e">
        <f>'CALIBRACION DESPUES DE AJUSTE°'!C124</f>
        <v>#N/A</v>
      </c>
      <c r="G116" s="1122" t="s">
        <v>336</v>
      </c>
      <c r="H116" s="845" t="e">
        <f>IF('RT03-F11° '!F123&lt;=(DATOS°!S152),"0,063","AJUSTAR")</f>
        <v>#N/A</v>
      </c>
      <c r="I116" s="1123" t="s">
        <v>336</v>
      </c>
      <c r="J116" s="1164" t="e">
        <f>'CALIBRACION DESPUES DE AJUSTE°'!I124</f>
        <v>#N/A</v>
      </c>
      <c r="K116" s="1746"/>
    </row>
    <row r="117" spans="1:11" ht="15.95" customHeight="1" x14ac:dyDescent="0.25"/>
    <row r="118" spans="1:11" ht="33.75" customHeight="1" x14ac:dyDescent="0.25">
      <c r="A118" s="1743" t="s">
        <v>603</v>
      </c>
      <c r="B118" s="1743"/>
      <c r="C118" s="1743"/>
      <c r="D118" s="1743"/>
      <c r="E118" s="1743"/>
      <c r="F118" s="1743"/>
      <c r="G118" s="1743"/>
      <c r="H118" s="1743"/>
      <c r="I118" s="1743"/>
      <c r="J118" s="1743"/>
      <c r="K118" s="1743"/>
    </row>
    <row r="119" spans="1:11" ht="15.95" customHeight="1" thickBot="1" x14ac:dyDescent="0.3">
      <c r="A119" s="1194"/>
      <c r="B119" s="1194"/>
      <c r="C119" s="1194"/>
      <c r="D119" s="1194"/>
      <c r="E119" s="1194"/>
      <c r="F119" s="1194"/>
      <c r="G119" s="1194"/>
      <c r="H119" s="1194"/>
      <c r="I119" s="1194"/>
      <c r="J119" s="1194"/>
      <c r="K119" s="1194"/>
    </row>
    <row r="120" spans="1:11" ht="15.95" customHeight="1" thickBot="1" x14ac:dyDescent="0.3">
      <c r="A120" s="1194"/>
      <c r="B120" s="1194"/>
      <c r="C120" s="1194"/>
      <c r="D120" s="1194"/>
      <c r="E120" s="1195" t="s">
        <v>594</v>
      </c>
      <c r="F120" s="1196">
        <f>(C113*0.05%)</f>
        <v>9.4635274999999996</v>
      </c>
      <c r="G120" s="1197" t="s">
        <v>4</v>
      </c>
      <c r="H120" s="1194"/>
      <c r="I120" s="1198"/>
      <c r="J120" s="1194"/>
      <c r="K120" s="1194"/>
    </row>
    <row r="121" spans="1:11" ht="15.95" customHeight="1" x14ac:dyDescent="0.25">
      <c r="A121" s="1194"/>
      <c r="B121" s="1194"/>
      <c r="C121" s="1194"/>
      <c r="D121" s="1194"/>
      <c r="E121" s="1194"/>
      <c r="F121" s="1194"/>
      <c r="G121" s="1194"/>
      <c r="H121" s="1194"/>
      <c r="I121" s="1199"/>
      <c r="J121" s="1194"/>
      <c r="K121" s="1194"/>
    </row>
    <row r="122" spans="1:11" ht="15.95" customHeight="1" thickBot="1" x14ac:dyDescent="0.3">
      <c r="A122" s="1194"/>
      <c r="B122" s="1194"/>
      <c r="C122" s="1194"/>
      <c r="D122" s="1194"/>
      <c r="E122" s="1194"/>
      <c r="F122" s="1194"/>
      <c r="G122" s="1194"/>
      <c r="H122" s="1194"/>
      <c r="I122" s="1198"/>
      <c r="J122" s="1194"/>
      <c r="K122" s="1194"/>
    </row>
    <row r="123" spans="1:11" ht="18" customHeight="1" thickBot="1" x14ac:dyDescent="0.3">
      <c r="A123" s="1652" t="s">
        <v>448</v>
      </c>
      <c r="B123" s="1652"/>
      <c r="C123" s="1652"/>
      <c r="D123" s="1652"/>
      <c r="E123" s="1652"/>
      <c r="F123" s="862" t="e">
        <f>IF((F113)," SI","NO")</f>
        <v>#N/A</v>
      </c>
      <c r="G123" s="77"/>
      <c r="H123" s="1160"/>
    </row>
    <row r="124" spans="1:11" ht="15.95" customHeight="1" thickBot="1" x14ac:dyDescent="0.3">
      <c r="A124" s="863"/>
      <c r="B124" s="863"/>
      <c r="C124" s="863"/>
      <c r="D124" s="863"/>
      <c r="E124" s="863"/>
      <c r="F124" s="77"/>
      <c r="G124" s="77"/>
      <c r="H124" s="77"/>
      <c r="I124" s="1159"/>
      <c r="J124" s="837"/>
    </row>
    <row r="125" spans="1:11" ht="15" customHeight="1" thickBot="1" x14ac:dyDescent="0.3">
      <c r="A125" s="1716" t="s">
        <v>273</v>
      </c>
      <c r="B125" s="1716"/>
      <c r="C125" s="1716"/>
      <c r="D125" s="1716"/>
      <c r="E125" s="1716"/>
      <c r="F125" s="864" t="s">
        <v>424</v>
      </c>
      <c r="G125" s="819"/>
      <c r="H125" s="727"/>
      <c r="I125" s="819"/>
      <c r="J125" s="809"/>
    </row>
    <row r="126" spans="1:11" ht="15" customHeight="1" x14ac:dyDescent="0.25">
      <c r="A126" s="1152"/>
      <c r="B126" s="1152"/>
      <c r="C126" s="1152"/>
      <c r="D126" s="1152"/>
      <c r="E126" s="1152"/>
      <c r="F126" s="1156"/>
      <c r="G126" s="819"/>
      <c r="H126" s="1148"/>
      <c r="I126" s="819"/>
      <c r="J126" s="1150"/>
    </row>
    <row r="127" spans="1:11" ht="15" customHeight="1" x14ac:dyDescent="0.25">
      <c r="A127" s="1152"/>
      <c r="B127" s="1152"/>
      <c r="C127" s="1152"/>
      <c r="D127" s="1152"/>
      <c r="E127" s="1152"/>
      <c r="F127" s="1156"/>
      <c r="G127" s="819"/>
      <c r="H127" s="1148"/>
      <c r="I127" s="819"/>
      <c r="J127" s="1150"/>
    </row>
    <row r="128" spans="1:11" ht="15.95" customHeight="1" x14ac:dyDescent="0.25">
      <c r="A128" s="865"/>
      <c r="B128" s="865"/>
      <c r="C128" s="865"/>
      <c r="D128" s="865"/>
      <c r="E128" s="865"/>
      <c r="F128" s="865"/>
      <c r="G128" s="865"/>
      <c r="H128" s="77"/>
      <c r="I128" s="77"/>
    </row>
    <row r="129" spans="1:12" ht="16.5" customHeight="1" x14ac:dyDescent="0.25">
      <c r="A129" s="1677" t="s">
        <v>575</v>
      </c>
      <c r="B129" s="1677"/>
      <c r="C129" s="1677"/>
      <c r="D129" s="1677"/>
      <c r="E129" s="1677"/>
      <c r="F129" s="1677"/>
      <c r="G129" s="1677"/>
      <c r="H129" s="1677"/>
      <c r="I129" s="1677"/>
      <c r="J129" s="803"/>
    </row>
    <row r="130" spans="1:12" ht="12" customHeight="1" thickBot="1" x14ac:dyDescent="0.3">
      <c r="A130" s="866"/>
      <c r="B130" s="866"/>
      <c r="C130" s="866"/>
      <c r="D130" s="866"/>
      <c r="E130" s="866"/>
      <c r="F130" s="866"/>
      <c r="G130" s="866"/>
      <c r="H130" s="866"/>
      <c r="I130" s="866"/>
      <c r="J130" s="867"/>
      <c r="K130" s="77"/>
    </row>
    <row r="131" spans="1:12" ht="16.5" customHeight="1" thickBot="1" x14ac:dyDescent="0.3">
      <c r="A131" s="806"/>
      <c r="B131" s="806"/>
      <c r="C131" s="806"/>
      <c r="D131" s="806"/>
      <c r="E131" s="77"/>
      <c r="F131" s="1655" t="s">
        <v>7</v>
      </c>
      <c r="G131" s="1656"/>
      <c r="H131" s="77"/>
      <c r="I131" s="77"/>
      <c r="J131" s="77"/>
      <c r="K131" s="77"/>
    </row>
    <row r="132" spans="1:12" ht="16.5" customHeight="1" x14ac:dyDescent="0.25">
      <c r="A132" s="805"/>
      <c r="C132" s="868" t="e">
        <f>'VERIFICACIÓN DE LA ESCALA°'!C56</f>
        <v>#N/A</v>
      </c>
      <c r="D132" s="1128" t="s">
        <v>4</v>
      </c>
      <c r="E132" s="1678" t="s">
        <v>411</v>
      </c>
      <c r="F132" s="869" t="e">
        <f>'VERIFICACIÓN DE LA ESCALA°'!F56</f>
        <v>#N/A</v>
      </c>
      <c r="G132" s="1128" t="s">
        <v>4</v>
      </c>
      <c r="I132" s="77"/>
      <c r="J132" s="77"/>
      <c r="K132" s="77"/>
    </row>
    <row r="133" spans="1:12" ht="17.25" customHeight="1" x14ac:dyDescent="0.25">
      <c r="A133" s="806"/>
      <c r="C133" s="870" t="e">
        <f>'VERIFICACIÓN DE LA ESCALA°'!C57</f>
        <v>#N/A</v>
      </c>
      <c r="D133" s="1129" t="s">
        <v>578</v>
      </c>
      <c r="E133" s="1679"/>
      <c r="F133" s="871" t="e">
        <f>'VERIFICACIÓN DE LA ESCALA°'!F57</f>
        <v>#N/A</v>
      </c>
      <c r="G133" s="1129" t="s">
        <v>578</v>
      </c>
      <c r="I133" s="77"/>
      <c r="J133" s="77"/>
      <c r="K133" s="77"/>
    </row>
    <row r="134" spans="1:12" ht="15" customHeight="1" thickBot="1" x14ac:dyDescent="0.3">
      <c r="A134" s="806"/>
      <c r="C134" s="872" t="e">
        <f>'VERIFICACIÓN DE LA ESCALA°'!C58</f>
        <v>#N/A</v>
      </c>
      <c r="D134" s="1130" t="s">
        <v>336</v>
      </c>
      <c r="E134" s="1680"/>
      <c r="F134" s="873" t="e">
        <f>'VERIFICACIÓN DE LA ESCALA°'!F58</f>
        <v>#N/A</v>
      </c>
      <c r="G134" s="1130" t="s">
        <v>336</v>
      </c>
      <c r="I134" s="77"/>
      <c r="J134" s="77"/>
      <c r="K134" s="77"/>
    </row>
    <row r="135" spans="1:12" ht="15" customHeight="1" x14ac:dyDescent="0.25">
      <c r="A135" s="806"/>
      <c r="B135" s="77"/>
      <c r="C135" s="77"/>
      <c r="D135" s="77"/>
      <c r="E135" s="77"/>
      <c r="F135" s="77"/>
      <c r="G135" s="77"/>
      <c r="H135" s="77"/>
      <c r="I135" s="77"/>
      <c r="J135" s="77"/>
      <c r="K135" s="77"/>
    </row>
    <row r="136" spans="1:12" ht="15" customHeight="1" x14ac:dyDescent="0.25">
      <c r="A136" s="806"/>
      <c r="B136" s="77"/>
      <c r="C136" s="77"/>
      <c r="D136" s="77"/>
      <c r="E136" s="77"/>
      <c r="F136" s="77"/>
      <c r="G136" s="77"/>
      <c r="H136" s="795" t="s">
        <v>373</v>
      </c>
      <c r="I136" s="1651">
        <f>I6</f>
        <v>0</v>
      </c>
      <c r="J136" s="1651"/>
      <c r="K136" s="1651"/>
    </row>
    <row r="137" spans="1:12" ht="12" customHeight="1" x14ac:dyDescent="0.25">
      <c r="A137" s="1717" t="s">
        <v>449</v>
      </c>
      <c r="B137" s="1717"/>
      <c r="C137" s="1717"/>
      <c r="D137" s="1717"/>
      <c r="E137" s="1717"/>
      <c r="F137" s="1717"/>
      <c r="G137" s="78"/>
      <c r="H137" s="77"/>
      <c r="I137" s="77"/>
      <c r="J137" s="77"/>
      <c r="K137" s="77"/>
      <c r="L137" s="77"/>
    </row>
    <row r="138" spans="1:12" ht="12" customHeight="1" x14ac:dyDescent="0.25">
      <c r="A138" s="1045"/>
      <c r="B138" s="1045"/>
      <c r="C138" s="1045"/>
      <c r="D138" s="1045"/>
      <c r="E138" s="1045"/>
      <c r="F138" s="1045"/>
      <c r="G138" s="78"/>
      <c r="H138" s="77"/>
      <c r="I138" s="77"/>
      <c r="J138" s="77"/>
      <c r="K138" s="77"/>
      <c r="L138" s="77"/>
    </row>
    <row r="139" spans="1:12" s="320" customFormat="1" ht="35.25" customHeight="1" x14ac:dyDescent="0.25">
      <c r="A139" s="1673" t="s">
        <v>554</v>
      </c>
      <c r="B139" s="1673"/>
      <c r="C139" s="1673"/>
      <c r="D139" s="1673"/>
      <c r="E139" s="1673"/>
      <c r="F139" s="1673"/>
      <c r="G139" s="1673"/>
      <c r="H139" s="1673"/>
      <c r="I139" s="1673"/>
      <c r="J139" s="1673"/>
      <c r="K139" s="1673"/>
      <c r="L139" s="313"/>
    </row>
    <row r="140" spans="1:12" ht="9.9499999999999993" customHeight="1" x14ac:dyDescent="0.25">
      <c r="A140" s="1153"/>
      <c r="B140" s="1153"/>
      <c r="C140" s="1153"/>
      <c r="D140" s="1154"/>
      <c r="E140" s="1154"/>
      <c r="F140" s="1154"/>
      <c r="G140" s="1154"/>
      <c r="H140" s="1155"/>
      <c r="I140" s="1155"/>
      <c r="J140" s="1154"/>
      <c r="K140" s="1155"/>
      <c r="L140" s="77"/>
    </row>
    <row r="141" spans="1:12" s="320" customFormat="1" ht="35.25" customHeight="1" x14ac:dyDescent="0.25">
      <c r="A141" s="1673" t="s">
        <v>604</v>
      </c>
      <c r="B141" s="1673"/>
      <c r="C141" s="1673"/>
      <c r="D141" s="1673"/>
      <c r="E141" s="1673"/>
      <c r="F141" s="1673"/>
      <c r="G141" s="1673"/>
      <c r="H141" s="1673"/>
      <c r="I141" s="1673"/>
      <c r="J141" s="1673"/>
      <c r="K141" s="1673"/>
      <c r="L141" s="313"/>
    </row>
    <row r="142" spans="1:12" s="1027" customFormat="1" ht="9.9499999999999993" customHeight="1" x14ac:dyDescent="0.25">
      <c r="A142" s="1200"/>
      <c r="B142" s="1200"/>
      <c r="C142" s="1200"/>
      <c r="D142" s="1200"/>
      <c r="E142" s="1200"/>
      <c r="F142" s="1200"/>
      <c r="G142" s="1200"/>
      <c r="H142" s="1200"/>
      <c r="I142" s="1200"/>
      <c r="J142" s="1200"/>
      <c r="K142" s="1200"/>
      <c r="L142" s="326"/>
    </row>
    <row r="143" spans="1:12" s="320" customFormat="1" ht="35.25" customHeight="1" x14ac:dyDescent="0.25">
      <c r="A143" s="1673" t="s">
        <v>602</v>
      </c>
      <c r="B143" s="1673"/>
      <c r="C143" s="1673"/>
      <c r="D143" s="1673"/>
      <c r="E143" s="1673"/>
      <c r="F143" s="1673"/>
      <c r="G143" s="1673"/>
      <c r="H143" s="1673"/>
      <c r="I143" s="1673"/>
      <c r="J143" s="1673"/>
      <c r="K143" s="1673"/>
      <c r="L143" s="313"/>
    </row>
    <row r="144" spans="1:12" s="320" customFormat="1" ht="9.9499999999999993" customHeight="1" x14ac:dyDescent="0.25">
      <c r="A144" s="1200"/>
      <c r="B144" s="1200"/>
      <c r="C144" s="1200"/>
      <c r="D144" s="1201"/>
      <c r="E144" s="1201"/>
      <c r="F144" s="1201"/>
      <c r="G144" s="1201"/>
      <c r="H144" s="1201"/>
      <c r="I144" s="1201"/>
      <c r="J144" s="1201"/>
      <c r="K144" s="1201"/>
      <c r="L144" s="313"/>
    </row>
    <row r="145" spans="1:13" s="1031" customFormat="1" ht="16.5" customHeight="1" x14ac:dyDescent="0.25">
      <c r="A145" s="1657" t="s">
        <v>544</v>
      </c>
      <c r="B145" s="1657"/>
      <c r="C145" s="1657"/>
      <c r="D145" s="1657"/>
      <c r="E145" s="1657"/>
      <c r="F145" s="1657"/>
      <c r="G145" s="1657"/>
      <c r="H145" s="1657"/>
      <c r="I145" s="1657"/>
      <c r="J145" s="1657"/>
      <c r="K145" s="1657"/>
      <c r="L145" s="1030"/>
    </row>
    <row r="146" spans="1:13" s="1031" customFormat="1" ht="9.9499999999999993" customHeight="1" x14ac:dyDescent="0.25">
      <c r="A146" s="1202"/>
      <c r="B146" s="1202"/>
      <c r="C146" s="1202"/>
      <c r="D146" s="1202"/>
      <c r="E146" s="1202"/>
      <c r="F146" s="1202"/>
      <c r="G146" s="1202"/>
      <c r="H146" s="1202"/>
      <c r="I146" s="1202"/>
      <c r="J146" s="1202"/>
      <c r="K146" s="1202"/>
      <c r="L146" s="1030"/>
    </row>
    <row r="147" spans="1:13" s="1031" customFormat="1" ht="15" customHeight="1" x14ac:dyDescent="0.25">
      <c r="A147" s="1657" t="s">
        <v>576</v>
      </c>
      <c r="B147" s="1657"/>
      <c r="C147" s="1657"/>
      <c r="D147" s="1657"/>
      <c r="E147" s="1657"/>
      <c r="F147" s="1657"/>
      <c r="G147" s="1657"/>
      <c r="H147" s="1657"/>
      <c r="I147" s="1657"/>
      <c r="J147" s="1657"/>
      <c r="K147" s="1657"/>
      <c r="L147" s="1030"/>
    </row>
    <row r="148" spans="1:13" s="1031" customFormat="1" ht="15" customHeight="1" x14ac:dyDescent="0.25">
      <c r="A148" s="1674" t="s">
        <v>542</v>
      </c>
      <c r="B148" s="1674"/>
      <c r="C148" s="1675">
        <f>'VERIFICACIÓN DE LA ESCALA°'!I55</f>
        <v>0</v>
      </c>
      <c r="D148" s="1676"/>
      <c r="E148" s="1676"/>
      <c r="F148" s="1676"/>
      <c r="G148" s="1202"/>
      <c r="H148" s="1202"/>
      <c r="I148" s="1202"/>
      <c r="J148" s="1202"/>
      <c r="K148" s="1202"/>
      <c r="L148" s="1034"/>
    </row>
    <row r="149" spans="1:13" s="1031" customFormat="1" ht="9.9499999999999993" customHeight="1" x14ac:dyDescent="0.25">
      <c r="A149" s="1202"/>
      <c r="B149" s="1201"/>
      <c r="C149" s="1202"/>
      <c r="D149" s="1201"/>
      <c r="E149" s="1202"/>
      <c r="F149" s="1201"/>
      <c r="G149" s="1202"/>
      <c r="H149" s="1202"/>
      <c r="I149" s="1202"/>
      <c r="J149" s="1201"/>
      <c r="K149" s="1201"/>
      <c r="L149" s="1030"/>
    </row>
    <row r="150" spans="1:13" s="1031" customFormat="1" ht="15" customHeight="1" x14ac:dyDescent="0.25">
      <c r="A150" s="1657" t="s">
        <v>545</v>
      </c>
      <c r="B150" s="1657"/>
      <c r="C150" s="1657"/>
      <c r="D150" s="1657"/>
      <c r="E150" s="1657"/>
      <c r="F150" s="1657"/>
      <c r="G150" s="1657"/>
      <c r="H150" s="1657"/>
      <c r="I150" s="1657"/>
      <c r="J150" s="1657"/>
      <c r="K150" s="1657"/>
      <c r="L150" s="1030"/>
    </row>
    <row r="151" spans="1:13" s="320" customFormat="1" ht="9.9499999999999993" customHeight="1" x14ac:dyDescent="0.25">
      <c r="A151" s="1202"/>
      <c r="B151" s="1202"/>
      <c r="C151" s="1202"/>
      <c r="D151" s="1202"/>
      <c r="E151" s="1202"/>
      <c r="F151" s="1202"/>
      <c r="G151" s="1202"/>
      <c r="H151" s="1202"/>
      <c r="I151" s="1202"/>
      <c r="J151" s="1202"/>
      <c r="K151" s="1202"/>
      <c r="L151" s="313"/>
    </row>
    <row r="152" spans="1:13" s="320" customFormat="1" ht="35.1" customHeight="1" x14ac:dyDescent="0.25">
      <c r="A152" s="1657" t="s">
        <v>577</v>
      </c>
      <c r="B152" s="1657"/>
      <c r="C152" s="1657"/>
      <c r="D152" s="1657"/>
      <c r="E152" s="1657"/>
      <c r="F152" s="1657"/>
      <c r="G152" s="1657"/>
      <c r="H152" s="1657"/>
      <c r="I152" s="1657"/>
      <c r="J152" s="1657"/>
      <c r="K152" s="1657"/>
      <c r="L152" s="313"/>
    </row>
    <row r="153" spans="1:13" s="320" customFormat="1" ht="9.9499999999999993" customHeight="1" x14ac:dyDescent="0.25">
      <c r="A153" s="1202"/>
      <c r="B153" s="1202"/>
      <c r="C153" s="1202"/>
      <c r="D153" s="1202"/>
      <c r="E153" s="1202"/>
      <c r="F153" s="1202"/>
      <c r="G153" s="1202"/>
      <c r="H153" s="1202"/>
      <c r="I153" s="1202"/>
      <c r="J153" s="1202"/>
      <c r="K153" s="1202"/>
      <c r="L153" s="313"/>
    </row>
    <row r="154" spans="1:13" s="1031" customFormat="1" ht="15" customHeight="1" x14ac:dyDescent="0.25">
      <c r="A154" s="1657" t="s">
        <v>547</v>
      </c>
      <c r="B154" s="1657"/>
      <c r="C154" s="1657"/>
      <c r="D154" s="1657"/>
      <c r="E154" s="1657"/>
      <c r="F154" s="1657"/>
      <c r="G154" s="1657"/>
      <c r="H154" s="1657"/>
      <c r="I154" s="1657"/>
      <c r="J154" s="1657"/>
      <c r="K154" s="1657"/>
      <c r="L154" s="1035"/>
      <c r="M154" s="1036"/>
    </row>
    <row r="155" spans="1:13" s="320" customFormat="1" ht="9.9499999999999993" customHeight="1" x14ac:dyDescent="0.25">
      <c r="A155" s="1202"/>
      <c r="B155" s="1202"/>
      <c r="C155" s="1202"/>
      <c r="D155" s="1202"/>
      <c r="E155" s="1202"/>
      <c r="F155" s="1202"/>
      <c r="G155" s="1202"/>
      <c r="H155" s="1202"/>
      <c r="I155" s="1202"/>
      <c r="J155" s="1202"/>
      <c r="K155" s="1202"/>
      <c r="L155" s="1037"/>
      <c r="M155" s="1038"/>
    </row>
    <row r="156" spans="1:13" s="320" customFormat="1" ht="30.75" customHeight="1" x14ac:dyDescent="0.25">
      <c r="A156" s="1657" t="s">
        <v>580</v>
      </c>
      <c r="B156" s="1657"/>
      <c r="C156" s="1657"/>
      <c r="D156" s="1657"/>
      <c r="E156" s="1657"/>
      <c r="F156" s="1657"/>
      <c r="G156" s="1657"/>
      <c r="H156" s="1657"/>
      <c r="I156" s="1657"/>
      <c r="J156" s="1657"/>
      <c r="K156" s="1657"/>
      <c r="L156" s="1039"/>
      <c r="M156" s="1038"/>
    </row>
    <row r="157" spans="1:13" s="320" customFormat="1" ht="26.25" customHeight="1" x14ac:dyDescent="0.25">
      <c r="A157" s="1657" t="s">
        <v>605</v>
      </c>
      <c r="B157" s="1657"/>
      <c r="C157" s="1657"/>
      <c r="D157" s="1657"/>
      <c r="E157" s="1657"/>
      <c r="F157" s="1657"/>
      <c r="G157" s="1657"/>
      <c r="H157" s="1657"/>
      <c r="I157" s="1657"/>
      <c r="J157" s="1657"/>
      <c r="K157" s="1657"/>
      <c r="L157" s="1039"/>
      <c r="M157" s="1040"/>
    </row>
    <row r="158" spans="1:13" s="320" customFormat="1" ht="9.9499999999999993" customHeight="1" x14ac:dyDescent="0.25">
      <c r="A158" s="1657"/>
      <c r="B158" s="1657"/>
      <c r="C158" s="1657"/>
      <c r="D158" s="1657"/>
      <c r="E158" s="1657"/>
      <c r="F158" s="1657"/>
      <c r="G158" s="1657"/>
      <c r="H158" s="1657"/>
      <c r="I158" s="1657"/>
      <c r="J158" s="1202"/>
      <c r="K158" s="1202"/>
      <c r="L158" s="1041"/>
      <c r="M158" s="1040"/>
    </row>
    <row r="159" spans="1:13" s="320" customFormat="1" ht="15" customHeight="1" x14ac:dyDescent="0.25">
      <c r="A159" s="1657" t="s">
        <v>548</v>
      </c>
      <c r="B159" s="1657"/>
      <c r="C159" s="1657"/>
      <c r="D159" s="1657"/>
      <c r="E159" s="1657"/>
      <c r="F159" s="1657"/>
      <c r="G159" s="1657"/>
      <c r="H159" s="1657"/>
      <c r="I159" s="1657"/>
      <c r="J159" s="1657"/>
      <c r="K159" s="1657"/>
      <c r="L159" s="1042"/>
      <c r="M159" s="1043"/>
    </row>
    <row r="160" spans="1:13" s="320" customFormat="1" ht="9.9499999999999993" customHeight="1" x14ac:dyDescent="0.25">
      <c r="A160" s="1203"/>
      <c r="B160" s="1203"/>
      <c r="C160" s="1203"/>
      <c r="D160" s="1203"/>
      <c r="E160" s="1203"/>
      <c r="F160" s="1203"/>
      <c r="G160" s="1203"/>
      <c r="H160" s="1203"/>
      <c r="I160" s="1203"/>
      <c r="J160" s="1203"/>
      <c r="K160" s="1202"/>
      <c r="L160" s="313"/>
    </row>
    <row r="161" spans="1:12" s="320" customFormat="1" ht="32.25" customHeight="1" x14ac:dyDescent="0.25">
      <c r="A161" s="1657" t="s">
        <v>579</v>
      </c>
      <c r="B161" s="1657"/>
      <c r="C161" s="1657"/>
      <c r="D161" s="1657"/>
      <c r="E161" s="1657"/>
      <c r="F161" s="1657"/>
      <c r="G161" s="1657"/>
      <c r="H161" s="1657"/>
      <c r="I161" s="1657"/>
      <c r="J161" s="1657"/>
      <c r="K161" s="1657"/>
      <c r="L161" s="313"/>
    </row>
    <row r="162" spans="1:12" s="320" customFormat="1" ht="9.9499999999999993" customHeight="1" x14ac:dyDescent="0.25">
      <c r="A162" s="1202"/>
      <c r="B162" s="1202"/>
      <c r="C162" s="1202"/>
      <c r="D162" s="1202"/>
      <c r="E162" s="1202"/>
      <c r="F162" s="1202"/>
      <c r="G162" s="1202"/>
      <c r="H162" s="1202"/>
      <c r="I162" s="1202"/>
      <c r="J162" s="1202"/>
      <c r="K162" s="1202"/>
      <c r="L162" s="313"/>
    </row>
    <row r="163" spans="1:12" s="320" customFormat="1" ht="15.75" customHeight="1" x14ac:dyDescent="0.25">
      <c r="A163" s="1657" t="s">
        <v>581</v>
      </c>
      <c r="B163" s="1657"/>
      <c r="C163" s="1657"/>
      <c r="D163" s="1657"/>
      <c r="E163" s="1657"/>
      <c r="F163" s="1657"/>
      <c r="G163" s="1657"/>
      <c r="H163" s="1657"/>
      <c r="I163" s="1657"/>
      <c r="J163" s="1657"/>
      <c r="K163" s="1657"/>
      <c r="L163" s="313"/>
    </row>
    <row r="164" spans="1:12" s="320" customFormat="1" ht="9.9499999999999993" customHeight="1" x14ac:dyDescent="0.25">
      <c r="A164" s="1202"/>
      <c r="B164" s="1202"/>
      <c r="C164" s="1202"/>
      <c r="D164" s="1202"/>
      <c r="E164" s="1202"/>
      <c r="F164" s="1202"/>
      <c r="G164" s="1202"/>
      <c r="H164" s="1202"/>
      <c r="I164" s="1202"/>
      <c r="J164" s="1202"/>
      <c r="K164" s="1202"/>
      <c r="L164" s="313"/>
    </row>
    <row r="165" spans="1:12" s="320" customFormat="1" ht="15" customHeight="1" x14ac:dyDescent="0.25">
      <c r="A165" s="1657" t="s">
        <v>552</v>
      </c>
      <c r="B165" s="1657"/>
      <c r="C165" s="1657"/>
      <c r="D165" s="1657"/>
      <c r="E165" s="1657"/>
      <c r="F165" s="1657"/>
      <c r="G165" s="1657"/>
      <c r="H165" s="1657"/>
      <c r="I165" s="1657"/>
      <c r="J165" s="1657"/>
      <c r="K165" s="1657"/>
      <c r="L165" s="313"/>
    </row>
    <row r="166" spans="1:12" s="320" customFormat="1" ht="9.9499999999999993" customHeight="1" x14ac:dyDescent="0.25">
      <c r="A166" s="1672"/>
      <c r="B166" s="1672"/>
      <c r="C166" s="1672"/>
      <c r="D166" s="1672"/>
      <c r="E166" s="1672"/>
      <c r="F166" s="1672"/>
      <c r="G166" s="1657"/>
      <c r="H166" s="1202"/>
      <c r="I166" s="1202"/>
      <c r="J166" s="1202"/>
      <c r="K166" s="1202"/>
      <c r="L166" s="313"/>
    </row>
    <row r="167" spans="1:12" s="320" customFormat="1" ht="15" customHeight="1" x14ac:dyDescent="0.25">
      <c r="A167" s="1657" t="s">
        <v>550</v>
      </c>
      <c r="B167" s="1657"/>
      <c r="C167" s="1657"/>
      <c r="D167" s="1657"/>
      <c r="E167" s="1657"/>
      <c r="F167" s="1657"/>
      <c r="G167" s="1657"/>
      <c r="H167" s="1657"/>
      <c r="I167" s="1657"/>
      <c r="J167" s="1657"/>
      <c r="K167" s="1202"/>
      <c r="L167" s="313"/>
    </row>
    <row r="168" spans="1:12" s="320" customFormat="1" ht="15" customHeight="1" x14ac:dyDescent="0.25">
      <c r="A168" s="1202"/>
      <c r="B168" s="1202"/>
      <c r="C168" s="1202"/>
      <c r="D168" s="1202"/>
      <c r="E168" s="1202"/>
      <c r="F168" s="1202"/>
      <c r="G168" s="1202"/>
      <c r="H168" s="1202"/>
      <c r="I168" s="1202"/>
      <c r="J168" s="1202"/>
      <c r="K168" s="1202"/>
      <c r="L168" s="313"/>
    </row>
    <row r="169" spans="1:12" s="320" customFormat="1" ht="15" customHeight="1" x14ac:dyDescent="0.25">
      <c r="A169" s="1149"/>
      <c r="B169" s="1149"/>
      <c r="C169" s="1149"/>
      <c r="D169" s="1149"/>
      <c r="E169" s="1149"/>
      <c r="F169" s="1149"/>
      <c r="G169" s="1149"/>
      <c r="H169" s="1149"/>
      <c r="I169" s="1149"/>
      <c r="J169" s="1149"/>
      <c r="K169" s="1149"/>
      <c r="L169" s="313"/>
    </row>
    <row r="170" spans="1:12" s="320" customFormat="1" ht="15" customHeight="1" x14ac:dyDescent="0.25">
      <c r="A170" s="1149"/>
      <c r="B170" s="1149"/>
      <c r="C170" s="1149"/>
      <c r="D170" s="1149"/>
      <c r="E170" s="1149"/>
      <c r="F170" s="1149"/>
      <c r="G170" s="1149"/>
      <c r="H170" s="1149"/>
      <c r="I170" s="1149"/>
      <c r="J170" s="1149"/>
      <c r="K170" s="1149"/>
      <c r="L170" s="313"/>
    </row>
    <row r="171" spans="1:12" ht="9.9499999999999993" customHeight="1" x14ac:dyDescent="0.25">
      <c r="A171" s="1155"/>
      <c r="B171" s="1155"/>
      <c r="C171" s="1155"/>
      <c r="D171" s="1155"/>
      <c r="E171" s="1155"/>
      <c r="F171" s="1155"/>
      <c r="G171" s="1155"/>
      <c r="H171" s="1155"/>
      <c r="I171" s="1155"/>
      <c r="J171" s="1155"/>
      <c r="K171" s="1155"/>
      <c r="L171" s="77"/>
    </row>
    <row r="172" spans="1:12" ht="15" customHeight="1" x14ac:dyDescent="0.25">
      <c r="A172" s="1709" t="s">
        <v>35</v>
      </c>
      <c r="B172" s="1709"/>
      <c r="C172" s="1709"/>
      <c r="D172" s="1709"/>
      <c r="E172" s="77"/>
      <c r="F172" s="77"/>
      <c r="G172" s="77"/>
      <c r="H172" s="77"/>
      <c r="I172" s="77"/>
      <c r="J172" s="77"/>
      <c r="K172" s="77"/>
      <c r="L172" s="77"/>
    </row>
    <row r="173" spans="1:12" ht="15" customHeight="1" x14ac:dyDescent="0.25">
      <c r="A173" s="1151"/>
      <c r="B173" s="1151"/>
      <c r="C173" s="1151"/>
      <c r="D173" s="1151"/>
      <c r="E173" s="77"/>
      <c r="F173" s="77"/>
      <c r="G173" s="77"/>
      <c r="H173" s="77"/>
      <c r="I173" s="77"/>
      <c r="J173" s="77"/>
      <c r="K173" s="77"/>
      <c r="L173" s="77"/>
    </row>
    <row r="174" spans="1:12" ht="15" customHeight="1" x14ac:dyDescent="0.25">
      <c r="A174" s="1151"/>
      <c r="B174" s="1151"/>
      <c r="C174" s="1151"/>
      <c r="D174" s="1151"/>
      <c r="E174" s="77"/>
      <c r="F174" s="77"/>
      <c r="G174" s="77"/>
      <c r="H174" s="77"/>
      <c r="I174" s="77"/>
      <c r="J174" s="77"/>
      <c r="K174" s="77"/>
      <c r="L174" s="77"/>
    </row>
    <row r="175" spans="1:12" ht="15" customHeight="1" x14ac:dyDescent="0.25">
      <c r="A175" s="1151"/>
      <c r="B175" s="1151"/>
      <c r="C175" s="1151"/>
      <c r="D175" s="1151"/>
      <c r="E175" s="77"/>
      <c r="F175" s="77"/>
      <c r="G175" s="77"/>
      <c r="H175" s="77"/>
      <c r="I175" s="77"/>
      <c r="J175" s="77"/>
      <c r="K175" s="77"/>
      <c r="L175" s="77"/>
    </row>
    <row r="176" spans="1:12" ht="15" customHeight="1" x14ac:dyDescent="0.25">
      <c r="A176" s="1151"/>
      <c r="B176" s="1151"/>
      <c r="C176" s="1151"/>
      <c r="D176" s="1151"/>
      <c r="E176" s="77"/>
      <c r="F176" s="77"/>
      <c r="G176" s="77"/>
      <c r="H176" s="77"/>
      <c r="I176" s="77"/>
      <c r="J176" s="77"/>
      <c r="K176" s="77"/>
      <c r="L176" s="77"/>
    </row>
    <row r="177" spans="1:12" ht="15" customHeight="1" x14ac:dyDescent="0.25">
      <c r="A177" s="1151"/>
      <c r="B177" s="1151"/>
      <c r="C177" s="1151"/>
      <c r="D177" s="1151"/>
      <c r="E177" s="77"/>
      <c r="F177" s="77"/>
      <c r="G177" s="77"/>
      <c r="H177" s="77"/>
      <c r="I177" s="77"/>
      <c r="J177" s="77"/>
      <c r="K177" s="77"/>
      <c r="L177" s="77"/>
    </row>
    <row r="178" spans="1:12" ht="15" customHeight="1" x14ac:dyDescent="0.25">
      <c r="A178" s="77"/>
      <c r="B178" s="77"/>
      <c r="C178" s="77"/>
      <c r="D178" s="77"/>
      <c r="E178" s="77"/>
      <c r="F178" s="77"/>
      <c r="G178" s="77"/>
      <c r="H178" s="77"/>
      <c r="I178" s="77"/>
      <c r="J178" s="77"/>
      <c r="K178" s="77"/>
      <c r="L178" s="77"/>
    </row>
    <row r="179" spans="1:12" ht="15" customHeight="1" x14ac:dyDescent="0.25">
      <c r="A179" s="77"/>
      <c r="B179" s="77"/>
      <c r="C179" s="77"/>
      <c r="D179" s="77"/>
      <c r="E179" s="77"/>
      <c r="F179" s="77"/>
      <c r="G179" s="77"/>
      <c r="H179" s="77"/>
      <c r="I179" s="77"/>
      <c r="J179" s="77"/>
      <c r="K179" s="77"/>
      <c r="L179" s="77"/>
    </row>
    <row r="180" spans="1:12" ht="15" customHeight="1" x14ac:dyDescent="0.25">
      <c r="A180" s="874"/>
      <c r="B180" s="875" t="s">
        <v>36</v>
      </c>
      <c r="C180" s="875"/>
      <c r="D180" s="875"/>
      <c r="E180" s="875"/>
      <c r="F180" s="77"/>
      <c r="G180" s="1727" t="s">
        <v>36</v>
      </c>
      <c r="H180" s="1727"/>
      <c r="I180" s="1727"/>
      <c r="J180" s="77"/>
      <c r="K180" s="874"/>
      <c r="L180" s="77"/>
    </row>
    <row r="181" spans="1:12" ht="15" customHeight="1" x14ac:dyDescent="0.25">
      <c r="A181" s="77"/>
      <c r="B181" s="1727" t="s">
        <v>37</v>
      </c>
      <c r="C181" s="1727"/>
      <c r="D181" s="1727"/>
      <c r="E181" s="1727"/>
      <c r="F181" s="77"/>
      <c r="G181" s="1727" t="s">
        <v>599</v>
      </c>
      <c r="H181" s="1727"/>
      <c r="I181" s="1727"/>
      <c r="J181" s="77"/>
      <c r="K181" s="77"/>
      <c r="L181" s="77"/>
    </row>
    <row r="182" spans="1:12" ht="15" customHeight="1" x14ac:dyDescent="0.25">
      <c r="A182" s="77"/>
      <c r="B182" s="1728" t="e">
        <f>VLOOKUP(A180,DATOS°!P9:S13,4,FALSE)</f>
        <v>#N/A</v>
      </c>
      <c r="C182" s="1728"/>
      <c r="D182" s="1728"/>
      <c r="E182" s="1728"/>
      <c r="F182" s="1708" t="e">
        <f>VLOOKUP(K180,DATOS°!P9:U13,6,FALSE)</f>
        <v>#N/A</v>
      </c>
      <c r="G182" s="1708"/>
      <c r="H182" s="1708"/>
      <c r="I182" s="1708"/>
      <c r="J182" s="1708"/>
      <c r="K182" s="1708"/>
      <c r="L182" s="77"/>
    </row>
    <row r="183" spans="1:12" ht="15" customHeight="1" x14ac:dyDescent="0.25">
      <c r="A183" s="77"/>
      <c r="B183" s="1709" t="e">
        <f>VLOOKUP(A180,DATOS°!P9:S13,2,FALSE)</f>
        <v>#N/A</v>
      </c>
      <c r="C183" s="1709"/>
      <c r="D183" s="1709"/>
      <c r="E183" s="1709"/>
      <c r="F183" s="1709" t="e">
        <f>VLOOKUP(K180,DATOS°!P9:U13,2,FALSE)</f>
        <v>#N/A</v>
      </c>
      <c r="G183" s="1709"/>
      <c r="H183" s="1709"/>
      <c r="I183" s="1709"/>
      <c r="J183" s="1709"/>
      <c r="K183" s="1709"/>
      <c r="L183" s="77"/>
    </row>
    <row r="184" spans="1:12" ht="15" customHeight="1" x14ac:dyDescent="0.25">
      <c r="A184" s="77"/>
      <c r="B184" s="77"/>
      <c r="C184" s="77"/>
      <c r="D184" s="77"/>
      <c r="E184" s="77"/>
      <c r="F184" s="77"/>
      <c r="G184" s="77"/>
      <c r="H184" s="77"/>
      <c r="I184" s="77"/>
      <c r="J184" s="77"/>
      <c r="K184" s="77"/>
      <c r="L184" s="77"/>
    </row>
    <row r="185" spans="1:12" ht="15" customHeight="1" x14ac:dyDescent="0.25">
      <c r="A185" s="77"/>
      <c r="B185" s="1705" t="s">
        <v>600</v>
      </c>
      <c r="C185" s="1705"/>
      <c r="D185" s="1705"/>
      <c r="E185" s="1706" t="s">
        <v>601</v>
      </c>
      <c r="F185" s="1706"/>
      <c r="G185" s="77"/>
      <c r="H185" s="77"/>
      <c r="I185" s="77"/>
      <c r="J185" s="77"/>
      <c r="K185" s="77"/>
      <c r="L185" s="77"/>
    </row>
    <row r="186" spans="1:12" ht="15" customHeight="1" x14ac:dyDescent="0.25">
      <c r="A186" s="77"/>
      <c r="B186" s="1559" t="s">
        <v>274</v>
      </c>
      <c r="C186" s="1559"/>
      <c r="D186" s="1559"/>
      <c r="E186" s="1559"/>
      <c r="F186" s="1559"/>
      <c r="G186" s="1559"/>
      <c r="H186" s="1559"/>
      <c r="I186" s="1559"/>
      <c r="J186" s="77"/>
      <c r="K186" s="77"/>
      <c r="L186" s="77"/>
    </row>
  </sheetData>
  <sheetProtection password="CF7A" sheet="1" objects="1" scenarios="1"/>
  <mergeCells count="154">
    <mergeCell ref="A118:K118"/>
    <mergeCell ref="K113:K116"/>
    <mergeCell ref="K106:K109"/>
    <mergeCell ref="A30:K30"/>
    <mergeCell ref="A31:K31"/>
    <mergeCell ref="C52:K52"/>
    <mergeCell ref="C62:J62"/>
    <mergeCell ref="C64:J64"/>
    <mergeCell ref="C66:J66"/>
    <mergeCell ref="C57:K57"/>
    <mergeCell ref="C59:K59"/>
    <mergeCell ref="C61:K61"/>
    <mergeCell ref="C63:K63"/>
    <mergeCell ref="C65:K65"/>
    <mergeCell ref="A100:C100"/>
    <mergeCell ref="A102:K102"/>
    <mergeCell ref="E97:F97"/>
    <mergeCell ref="A35:H35"/>
    <mergeCell ref="A106:B109"/>
    <mergeCell ref="C67:K67"/>
    <mergeCell ref="C69:K69"/>
    <mergeCell ref="A87:K88"/>
    <mergeCell ref="C72:J72"/>
    <mergeCell ref="C68:J68"/>
    <mergeCell ref="C71:J71"/>
    <mergeCell ref="G83:I83"/>
    <mergeCell ref="B83:C83"/>
    <mergeCell ref="X26:Z26"/>
    <mergeCell ref="A7:D7"/>
    <mergeCell ref="T24:X24"/>
    <mergeCell ref="A17:D17"/>
    <mergeCell ref="A18:D18"/>
    <mergeCell ref="A19:D19"/>
    <mergeCell ref="T26:V26"/>
    <mergeCell ref="E20:H20"/>
    <mergeCell ref="I13:K13"/>
    <mergeCell ref="G13:H13"/>
    <mergeCell ref="E13:F13"/>
    <mergeCell ref="A13:D13"/>
    <mergeCell ref="A22:D22"/>
    <mergeCell ref="A23:D23"/>
    <mergeCell ref="A24:D24"/>
    <mergeCell ref="A25:D25"/>
    <mergeCell ref="A26:D26"/>
    <mergeCell ref="B186:I186"/>
    <mergeCell ref="B183:E183"/>
    <mergeCell ref="A172:D172"/>
    <mergeCell ref="G180:I180"/>
    <mergeCell ref="B181:E181"/>
    <mergeCell ref="G181:I181"/>
    <mergeCell ref="B182:E182"/>
    <mergeCell ref="A1:K5"/>
    <mergeCell ref="A9:B9"/>
    <mergeCell ref="A10:B10"/>
    <mergeCell ref="A33:D33"/>
    <mergeCell ref="E33:F33"/>
    <mergeCell ref="A14:B14"/>
    <mergeCell ref="D14:F14"/>
    <mergeCell ref="A11:B11"/>
    <mergeCell ref="A28:K28"/>
    <mergeCell ref="A15:J15"/>
    <mergeCell ref="A20:D20"/>
    <mergeCell ref="A27:D27"/>
    <mergeCell ref="E17:H17"/>
    <mergeCell ref="E18:H18"/>
    <mergeCell ref="E19:H19"/>
    <mergeCell ref="E21:H21"/>
    <mergeCell ref="C73:H73"/>
    <mergeCell ref="B185:D185"/>
    <mergeCell ref="E185:F185"/>
    <mergeCell ref="A50:B50"/>
    <mergeCell ref="A78:E78"/>
    <mergeCell ref="F182:K182"/>
    <mergeCell ref="F183:K183"/>
    <mergeCell ref="G100:H100"/>
    <mergeCell ref="I100:J100"/>
    <mergeCell ref="I98:J98"/>
    <mergeCell ref="C108:D108"/>
    <mergeCell ref="C107:D107"/>
    <mergeCell ref="A125:E125"/>
    <mergeCell ref="E98:F98"/>
    <mergeCell ref="A137:F137"/>
    <mergeCell ref="A167:J167"/>
    <mergeCell ref="A139:K139"/>
    <mergeCell ref="A141:K141"/>
    <mergeCell ref="A97:C97"/>
    <mergeCell ref="C109:D109"/>
    <mergeCell ref="A113:B116"/>
    <mergeCell ref="C113:D113"/>
    <mergeCell ref="C114:D114"/>
    <mergeCell ref="C75:H75"/>
    <mergeCell ref="A85:E85"/>
    <mergeCell ref="F112:G112"/>
    <mergeCell ref="A129:I129"/>
    <mergeCell ref="E132:E134"/>
    <mergeCell ref="A37:K38"/>
    <mergeCell ref="C54:K55"/>
    <mergeCell ref="A92:E92"/>
    <mergeCell ref="A96:C96"/>
    <mergeCell ref="G96:H96"/>
    <mergeCell ref="I96:J96"/>
    <mergeCell ref="B82:C82"/>
    <mergeCell ref="D82:F82"/>
    <mergeCell ref="G82:I82"/>
    <mergeCell ref="A80:K80"/>
    <mergeCell ref="E96:F96"/>
    <mergeCell ref="D83:F83"/>
    <mergeCell ref="A94:K94"/>
    <mergeCell ref="I97:J97"/>
    <mergeCell ref="A98:C98"/>
    <mergeCell ref="G98:H98"/>
    <mergeCell ref="A104:I104"/>
    <mergeCell ref="A99:C99"/>
    <mergeCell ref="G99:H99"/>
    <mergeCell ref="I99:J99"/>
    <mergeCell ref="C70:J70"/>
    <mergeCell ref="A166:G166"/>
    <mergeCell ref="A143:K143"/>
    <mergeCell ref="A145:K145"/>
    <mergeCell ref="A147:K147"/>
    <mergeCell ref="A148:B148"/>
    <mergeCell ref="C148:F148"/>
    <mergeCell ref="A157:K157"/>
    <mergeCell ref="A159:K159"/>
    <mergeCell ref="A161:K161"/>
    <mergeCell ref="A150:K150"/>
    <mergeCell ref="A152:K152"/>
    <mergeCell ref="A154:K154"/>
    <mergeCell ref="A156:K156"/>
    <mergeCell ref="A158:I158"/>
    <mergeCell ref="I6:K6"/>
    <mergeCell ref="I45:K45"/>
    <mergeCell ref="I91:K91"/>
    <mergeCell ref="I136:K136"/>
    <mergeCell ref="A123:E123"/>
    <mergeCell ref="C116:D116"/>
    <mergeCell ref="F131:G131"/>
    <mergeCell ref="A163:K163"/>
    <mergeCell ref="A165:K165"/>
    <mergeCell ref="E27:H27"/>
    <mergeCell ref="G97:H97"/>
    <mergeCell ref="D9:K9"/>
    <mergeCell ref="D10:K10"/>
    <mergeCell ref="D11:K11"/>
    <mergeCell ref="A105:B105"/>
    <mergeCell ref="C105:E105"/>
    <mergeCell ref="E99:F99"/>
    <mergeCell ref="E100:F100"/>
    <mergeCell ref="F105:G105"/>
    <mergeCell ref="C106:D106"/>
    <mergeCell ref="E22:H22"/>
    <mergeCell ref="E23:H23"/>
    <mergeCell ref="E26:H26"/>
    <mergeCell ref="A21:D21"/>
  </mergeCells>
  <printOptions horizontalCentered="1"/>
  <pageMargins left="0.23622047244094491" right="0.23622047244094491" top="0.74803149606299213" bottom="0.74803149606299213" header="0.31496062992125984" footer="0.31496062992125984"/>
  <pageSetup scale="69" orientation="portrait" r:id="rId1"/>
  <headerFooter>
    <oddHeader>&amp;C
&amp;"-,Negrita"CERTIFICADO DE CALIBRACIÓN DE RECIPIENTES VOLUMÉTRICOS</oddHeader>
    <oddFooter xml:space="preserve">&amp;RRT03-F14 Vr. 6 (2019-11-07)
&amp;P de 4 </oddFooter>
  </headerFooter>
  <rowBreaks count="3" manualBreakCount="3">
    <brk id="43" max="10" man="1"/>
    <brk id="89" max="10" man="1"/>
    <brk id="122" max="10" man="1"/>
  </rowBreaks>
  <colBreaks count="1" manualBreakCount="1">
    <brk id="12" max="1048575" man="1"/>
  </colBreaks>
  <ignoredErrors>
    <ignoredError sqref="I100 G100 D100 B182:B183"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3D4A6520-9655-4425-85F5-EDE05C527B4C}">
            <xm:f>NOT(ISERROR(SEARCH($F$113,F123)))</xm:f>
            <xm:f>$F$113</xm:f>
            <x14:dxf>
              <font>
                <b/>
                <i val="0"/>
              </font>
            </x14:dxf>
          </x14:cfRule>
          <x14:cfRule type="containsText" priority="12" stopIfTrue="1" operator="containsText" id="{10145571-340A-42E6-A73D-51EBE00510D1}">
            <xm:f>NOT(ISERROR(SEARCH($F$113,F123)))</xm:f>
            <xm:f>$F$113</xm:f>
            <x14:dxf>
              <font>
                <b/>
                <i val="0"/>
                <color auto="1"/>
              </font>
              <fill>
                <patternFill>
                  <bgColor rgb="FFFFC7CE"/>
                </patternFill>
              </fill>
            </x14:dxf>
          </x14:cfRule>
          <xm:sqref>F123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DATOS°!$P$9:$P$11</xm:f>
          </x14:formula1>
          <xm:sqref>A180</xm:sqref>
        </x14:dataValidation>
        <x14:dataValidation type="list" allowBlank="1" showInputMessage="1" showErrorMessage="1">
          <x14:formula1>
            <xm:f>DATOS°!$P$9:$P$13</xm:f>
          </x14:formula1>
          <xm:sqref>K180</xm:sqref>
        </x14:dataValidation>
        <x14:dataValidation type="list" allowBlank="1" showInputMessage="1" showErrorMessage="1">
          <x14:formula1>
            <xm:f>DATOS°!$C$112:$C$117</xm:f>
          </x14:formula1>
          <xm:sqref>K100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Z171"/>
  <sheetViews>
    <sheetView showGridLines="0" view="pageBreakPreview" zoomScaleNormal="100" zoomScaleSheetLayoutView="100" workbookViewId="0">
      <selection activeCell="N9" sqref="N9"/>
    </sheetView>
  </sheetViews>
  <sheetFormatPr baseColWidth="10" defaultRowHeight="15.75" x14ac:dyDescent="0.25"/>
  <cols>
    <col min="1" max="1" width="6.28515625" style="793" customWidth="1"/>
    <col min="2" max="2" width="7.85546875" style="793" customWidth="1"/>
    <col min="3" max="3" width="8.140625" style="793" customWidth="1"/>
    <col min="4" max="4" width="11" style="793" customWidth="1"/>
    <col min="5" max="5" width="10.7109375" style="793" customWidth="1"/>
    <col min="6" max="6" width="12.7109375" style="793" customWidth="1"/>
    <col min="7" max="7" width="9.7109375" style="793" customWidth="1"/>
    <col min="8" max="8" width="14.7109375" style="793" customWidth="1"/>
    <col min="9" max="10" width="7.28515625" style="793" customWidth="1"/>
    <col min="11" max="11" width="9.42578125" style="793" customWidth="1"/>
    <col min="12" max="12" width="3.28515625" style="793" customWidth="1"/>
    <col min="13" max="13" width="8.28515625" style="793" customWidth="1"/>
    <col min="14" max="14" width="10.140625" style="793" customWidth="1"/>
    <col min="15" max="15" width="8" style="793" customWidth="1"/>
    <col min="16" max="16" width="13.85546875" style="793" customWidth="1"/>
    <col min="17" max="17" width="0.5703125" style="793" customWidth="1"/>
    <col min="18" max="18" width="1.7109375" style="793" customWidth="1"/>
    <col min="19" max="16384" width="11.42578125" style="793"/>
  </cols>
  <sheetData>
    <row r="1" spans="1:11" ht="20.100000000000001" customHeight="1" x14ac:dyDescent="0.25"/>
    <row r="2" spans="1:11" ht="20.100000000000001" customHeight="1" x14ac:dyDescent="0.25">
      <c r="A2" s="1729"/>
      <c r="B2" s="1729"/>
      <c r="C2" s="1729"/>
      <c r="D2" s="1729"/>
      <c r="E2" s="1729"/>
      <c r="F2" s="1729"/>
      <c r="G2" s="1729"/>
      <c r="H2" s="1729"/>
      <c r="I2" s="1729"/>
      <c r="J2" s="1729"/>
      <c r="K2" s="1729"/>
    </row>
    <row r="3" spans="1:11" ht="20.100000000000001" customHeight="1" x14ac:dyDescent="0.25">
      <c r="A3" s="1729"/>
      <c r="B3" s="1729"/>
      <c r="C3" s="1729"/>
      <c r="D3" s="1729"/>
      <c r="E3" s="1729"/>
      <c r="F3" s="1729"/>
      <c r="G3" s="1729"/>
      <c r="H3" s="1729"/>
      <c r="I3" s="1729"/>
      <c r="J3" s="1729"/>
      <c r="K3" s="1729"/>
    </row>
    <row r="4" spans="1:11" ht="20.100000000000001" customHeight="1" x14ac:dyDescent="0.25">
      <c r="A4" s="1729"/>
      <c r="B4" s="1729"/>
      <c r="C4" s="1729"/>
      <c r="D4" s="1729"/>
      <c r="E4" s="1729"/>
      <c r="F4" s="1729"/>
      <c r="G4" s="1729"/>
      <c r="H4" s="1729"/>
      <c r="I4" s="1729"/>
      <c r="J4" s="1729"/>
      <c r="K4" s="1729"/>
    </row>
    <row r="5" spans="1:11" ht="20.100000000000001" customHeight="1" x14ac:dyDescent="0.25">
      <c r="A5" s="1729"/>
      <c r="B5" s="1729"/>
      <c r="C5" s="1729"/>
      <c r="D5" s="1729"/>
      <c r="E5" s="1729"/>
      <c r="F5" s="1729"/>
      <c r="G5" s="1729"/>
      <c r="H5" s="1729"/>
      <c r="I5" s="1729"/>
      <c r="J5" s="1729"/>
      <c r="K5" s="1729"/>
    </row>
    <row r="6" spans="1:11" ht="20.100000000000001" customHeight="1" x14ac:dyDescent="0.25">
      <c r="A6" s="1729"/>
      <c r="B6" s="1729"/>
      <c r="C6" s="1729"/>
      <c r="D6" s="1729"/>
      <c r="E6" s="1729"/>
      <c r="F6" s="1729"/>
      <c r="G6" s="1729"/>
      <c r="H6" s="1729"/>
      <c r="I6" s="1729"/>
      <c r="J6" s="1729"/>
      <c r="K6" s="1729"/>
    </row>
    <row r="7" spans="1:11" ht="20.100000000000001" customHeight="1" x14ac:dyDescent="0.25">
      <c r="A7" s="1087"/>
      <c r="B7" s="1087"/>
      <c r="C7" s="1087"/>
      <c r="D7" s="1087"/>
      <c r="E7" s="1087"/>
      <c r="F7" s="1087"/>
      <c r="G7" s="1087"/>
      <c r="H7" s="795" t="s">
        <v>563</v>
      </c>
      <c r="I7" s="1762">
        <f>DATOS°!N15</f>
        <v>0</v>
      </c>
      <c r="J7" s="1762"/>
      <c r="K7" s="796"/>
    </row>
    <row r="8" spans="1:11" ht="18" customHeight="1" x14ac:dyDescent="0.25">
      <c r="A8" s="1730" t="s">
        <v>51</v>
      </c>
      <c r="B8" s="1730"/>
      <c r="C8" s="1730"/>
      <c r="D8" s="1730"/>
      <c r="E8" s="797"/>
      <c r="F8" s="798"/>
    </row>
    <row r="9" spans="1:11" ht="18" customHeight="1" x14ac:dyDescent="0.25">
      <c r="A9" s="799"/>
      <c r="B9" s="799"/>
      <c r="C9" s="799"/>
      <c r="D9" s="798"/>
      <c r="E9" s="798"/>
      <c r="F9" s="798"/>
    </row>
    <row r="10" spans="1:11" ht="18" customHeight="1" x14ac:dyDescent="0.25">
      <c r="A10" s="1677" t="s">
        <v>565</v>
      </c>
      <c r="B10" s="1677"/>
      <c r="C10" s="1088"/>
      <c r="D10" s="1661">
        <f>DATOS°!K8</f>
        <v>0</v>
      </c>
      <c r="E10" s="1661"/>
      <c r="F10" s="1661"/>
      <c r="G10" s="1661"/>
      <c r="H10" s="1661"/>
      <c r="I10" s="1661"/>
      <c r="J10" s="1661"/>
      <c r="K10" s="1661"/>
    </row>
    <row r="11" spans="1:11" ht="18" customHeight="1" x14ac:dyDescent="0.25">
      <c r="A11" s="1677" t="s">
        <v>566</v>
      </c>
      <c r="B11" s="1677"/>
      <c r="C11" s="1088"/>
      <c r="D11" s="1661">
        <f>DATOS°!L8</f>
        <v>0</v>
      </c>
      <c r="E11" s="1661"/>
      <c r="F11" s="1661"/>
      <c r="G11" s="1661"/>
      <c r="H11" s="1661"/>
      <c r="I11" s="1661"/>
      <c r="J11" s="1661"/>
      <c r="K11" s="1661"/>
    </row>
    <row r="12" spans="1:11" ht="18" customHeight="1" x14ac:dyDescent="0.25">
      <c r="A12" s="1677" t="s">
        <v>567</v>
      </c>
      <c r="B12" s="1677"/>
      <c r="C12" s="1088"/>
      <c r="D12" s="1661">
        <f>DATOS°!M8</f>
        <v>0</v>
      </c>
      <c r="E12" s="1661"/>
      <c r="F12" s="1661"/>
      <c r="G12" s="1661"/>
      <c r="H12" s="1661"/>
      <c r="I12" s="1661"/>
      <c r="J12" s="1661"/>
      <c r="K12" s="1661"/>
    </row>
    <row r="13" spans="1:11" ht="18" customHeight="1" x14ac:dyDescent="0.25">
      <c r="A13" s="1089"/>
      <c r="B13" s="1089"/>
      <c r="C13" s="799"/>
      <c r="D13" s="798"/>
      <c r="E13" s="798"/>
      <c r="F13" s="798"/>
      <c r="G13" s="798"/>
    </row>
    <row r="14" spans="1:11" ht="18" customHeight="1" x14ac:dyDescent="0.25">
      <c r="A14" s="1677" t="s">
        <v>29</v>
      </c>
      <c r="B14" s="1677"/>
      <c r="C14" s="1677"/>
      <c r="D14" s="1741" t="e">
        <f>'RT03-F11° '!D3</f>
        <v>#N/A</v>
      </c>
      <c r="E14" s="1741"/>
      <c r="F14" s="1677" t="s">
        <v>30</v>
      </c>
      <c r="G14" s="1677"/>
      <c r="H14" s="1741">
        <f>DATOS°!I8</f>
        <v>0</v>
      </c>
      <c r="I14" s="1741"/>
      <c r="J14" s="1741"/>
      <c r="K14" s="77"/>
    </row>
    <row r="15" spans="1:11" ht="18" customHeight="1" x14ac:dyDescent="0.25">
      <c r="A15" s="1732"/>
      <c r="B15" s="1732"/>
      <c r="C15" s="803"/>
      <c r="D15" s="1732"/>
      <c r="E15" s="1732"/>
      <c r="F15" s="1732"/>
      <c r="I15" s="804"/>
      <c r="J15" s="804"/>
      <c r="K15" s="804"/>
    </row>
    <row r="16" spans="1:11" ht="18" customHeight="1" x14ac:dyDescent="0.25">
      <c r="A16" s="1730" t="s">
        <v>54</v>
      </c>
      <c r="B16" s="1730"/>
      <c r="C16" s="1730"/>
      <c r="D16" s="1730"/>
      <c r="E16" s="1730"/>
      <c r="F16" s="1730"/>
      <c r="G16" s="1730"/>
      <c r="H16" s="1730"/>
      <c r="I16" s="1730"/>
      <c r="J16" s="1730"/>
      <c r="K16" s="804"/>
    </row>
    <row r="17" spans="1:26" ht="18" customHeight="1" x14ac:dyDescent="0.25">
      <c r="A17" s="1088"/>
      <c r="B17" s="1088"/>
      <c r="C17" s="1088"/>
      <c r="D17" s="1088"/>
      <c r="E17" s="1088"/>
      <c r="F17" s="805"/>
      <c r="G17" s="77"/>
      <c r="H17" s="77"/>
      <c r="I17" s="78"/>
      <c r="J17" s="78"/>
      <c r="K17" s="804"/>
    </row>
    <row r="18" spans="1:26" ht="18" customHeight="1" x14ac:dyDescent="0.25">
      <c r="A18" s="1677" t="s">
        <v>27</v>
      </c>
      <c r="B18" s="1677"/>
      <c r="C18" s="1677"/>
      <c r="D18" s="1677"/>
      <c r="E18" s="1782" t="s">
        <v>539</v>
      </c>
      <c r="F18" s="1782"/>
      <c r="G18" s="1782"/>
      <c r="H18" s="1782"/>
      <c r="I18" s="78"/>
      <c r="J18" s="78"/>
      <c r="K18" s="804"/>
    </row>
    <row r="19" spans="1:26" ht="18" customHeight="1" x14ac:dyDescent="0.25">
      <c r="A19" s="1677" t="s">
        <v>437</v>
      </c>
      <c r="B19" s="1677"/>
      <c r="C19" s="1677"/>
      <c r="D19" s="1677"/>
      <c r="E19" s="1661">
        <f>DATOS°!C15</f>
        <v>0</v>
      </c>
      <c r="F19" s="1661"/>
      <c r="G19" s="1661"/>
      <c r="H19" s="1661"/>
      <c r="I19" s="1079"/>
      <c r="J19" s="78"/>
      <c r="K19" s="804"/>
    </row>
    <row r="20" spans="1:26" ht="18" customHeight="1" x14ac:dyDescent="0.25">
      <c r="A20" s="1677" t="s">
        <v>436</v>
      </c>
      <c r="B20" s="1677"/>
      <c r="C20" s="1677"/>
      <c r="D20" s="1677"/>
      <c r="E20" s="1661">
        <f>DATOS°!E15</f>
        <v>0</v>
      </c>
      <c r="F20" s="1661"/>
      <c r="G20" s="1661"/>
      <c r="H20" s="1661"/>
      <c r="I20" s="1079"/>
      <c r="J20" s="78"/>
      <c r="K20" s="804"/>
    </row>
    <row r="21" spans="1:26" ht="18" customHeight="1" x14ac:dyDescent="0.25">
      <c r="A21" s="1671" t="s">
        <v>400</v>
      </c>
      <c r="B21" s="1671"/>
      <c r="C21" s="1671"/>
      <c r="D21" s="1671"/>
      <c r="E21" s="1661">
        <f>DATOS°!D15</f>
        <v>0</v>
      </c>
      <c r="F21" s="1661"/>
      <c r="G21" s="1661"/>
      <c r="H21" s="1661"/>
      <c r="I21" s="1079"/>
      <c r="J21" s="78"/>
      <c r="K21" s="804"/>
    </row>
    <row r="22" spans="1:26" ht="18" customHeight="1" x14ac:dyDescent="0.25">
      <c r="A22" s="1671" t="s">
        <v>42</v>
      </c>
      <c r="B22" s="1671"/>
      <c r="C22" s="1671"/>
      <c r="D22" s="1671"/>
      <c r="E22" s="1782" t="s">
        <v>492</v>
      </c>
      <c r="F22" s="1782"/>
      <c r="G22" s="1782"/>
      <c r="H22" s="1782"/>
      <c r="I22" s="1079"/>
      <c r="J22" s="78"/>
      <c r="K22" s="804"/>
    </row>
    <row r="23" spans="1:26" ht="18" customHeight="1" x14ac:dyDescent="0.25">
      <c r="A23" s="1671" t="s">
        <v>438</v>
      </c>
      <c r="B23" s="1671"/>
      <c r="C23" s="1671"/>
      <c r="D23" s="1671"/>
      <c r="E23" s="1782" t="s">
        <v>420</v>
      </c>
      <c r="F23" s="1782"/>
      <c r="G23" s="1782"/>
      <c r="H23" s="1782"/>
      <c r="I23" s="1079"/>
      <c r="J23" s="77"/>
    </row>
    <row r="24" spans="1:26" ht="18" customHeight="1" x14ac:dyDescent="0.25">
      <c r="A24" s="1671" t="s">
        <v>439</v>
      </c>
      <c r="B24" s="1671"/>
      <c r="C24" s="1671"/>
      <c r="D24" s="1671"/>
      <c r="E24" s="1782" t="s">
        <v>420</v>
      </c>
      <c r="F24" s="1782"/>
      <c r="G24" s="1782"/>
      <c r="H24" s="1782"/>
      <c r="I24" s="1079"/>
      <c r="J24" s="77"/>
    </row>
    <row r="25" spans="1:26" ht="18" customHeight="1" x14ac:dyDescent="0.25">
      <c r="A25" s="1671" t="s">
        <v>435</v>
      </c>
      <c r="B25" s="1671"/>
      <c r="C25" s="1671"/>
      <c r="D25" s="1671"/>
      <c r="E25" s="1049" t="str">
        <f>DATOS°!G15</f>
        <v>5 gal</v>
      </c>
      <c r="F25" s="1079"/>
      <c r="G25" s="1079"/>
      <c r="H25" s="1079"/>
      <c r="I25" s="1079"/>
      <c r="J25" s="77"/>
      <c r="T25" s="1732"/>
      <c r="U25" s="1732"/>
      <c r="V25" s="1732"/>
      <c r="W25" s="1732"/>
      <c r="X25" s="1732"/>
    </row>
    <row r="26" spans="1:26" ht="18" customHeight="1" x14ac:dyDescent="0.25">
      <c r="A26" s="1671" t="s">
        <v>272</v>
      </c>
      <c r="B26" s="1671"/>
      <c r="C26" s="1671"/>
      <c r="D26" s="1671"/>
      <c r="E26" s="1048" t="e">
        <f>DATOS°!H15</f>
        <v>#N/A</v>
      </c>
      <c r="F26" s="175"/>
      <c r="G26" s="175"/>
      <c r="H26" s="175"/>
      <c r="I26" s="1079"/>
      <c r="J26" s="77"/>
      <c r="N26" s="807"/>
      <c r="O26" s="807"/>
      <c r="P26" s="807"/>
      <c r="Q26" s="807"/>
      <c r="R26" s="807"/>
      <c r="S26" s="807"/>
      <c r="T26" s="807"/>
      <c r="U26" s="807"/>
      <c r="V26" s="807"/>
      <c r="W26" s="807"/>
    </row>
    <row r="27" spans="1:26" ht="18" customHeight="1" x14ac:dyDescent="0.25">
      <c r="A27" s="1671" t="s">
        <v>399</v>
      </c>
      <c r="B27" s="1671"/>
      <c r="C27" s="1671"/>
      <c r="D27" s="1671"/>
      <c r="E27" s="1782" t="s">
        <v>440</v>
      </c>
      <c r="F27" s="1782"/>
      <c r="G27" s="1782"/>
      <c r="H27" s="1782"/>
      <c r="I27" s="1079"/>
      <c r="J27" s="808"/>
      <c r="T27" s="1738"/>
      <c r="U27" s="1739"/>
      <c r="V27" s="1739"/>
      <c r="X27" s="1732"/>
      <c r="Y27" s="1732"/>
      <c r="Z27" s="1732"/>
    </row>
    <row r="28" spans="1:26" ht="18" customHeight="1" x14ac:dyDescent="0.25">
      <c r="A28" s="1732"/>
      <c r="B28" s="1732"/>
      <c r="C28" s="1732"/>
      <c r="D28" s="1732"/>
      <c r="E28" s="1658"/>
      <c r="F28" s="1658"/>
      <c r="G28" s="1658"/>
      <c r="H28" s="1658"/>
      <c r="I28" s="1080"/>
    </row>
    <row r="29" spans="1:26" ht="18" customHeight="1" x14ac:dyDescent="0.25">
      <c r="A29" s="1730" t="s">
        <v>169</v>
      </c>
      <c r="B29" s="1730"/>
      <c r="C29" s="1730"/>
      <c r="D29" s="1730"/>
      <c r="E29" s="1730"/>
      <c r="F29" s="1730"/>
      <c r="G29" s="1730"/>
      <c r="H29" s="1730"/>
      <c r="I29" s="1730"/>
      <c r="J29" s="1730"/>
      <c r="K29" s="1730"/>
    </row>
    <row r="30" spans="1:26" ht="18" customHeight="1" x14ac:dyDescent="0.25">
      <c r="A30" s="77"/>
      <c r="B30" s="77"/>
      <c r="C30" s="77"/>
      <c r="D30" s="77"/>
      <c r="E30" s="77"/>
      <c r="F30" s="77"/>
      <c r="G30" s="77"/>
      <c r="H30" s="77"/>
      <c r="I30" s="77"/>
      <c r="J30" s="77"/>
      <c r="K30" s="77"/>
    </row>
    <row r="31" spans="1:26" ht="18" customHeight="1" x14ac:dyDescent="0.25">
      <c r="A31" s="1731" t="str">
        <f>DATOS°!G8</f>
        <v>Laboratorios de calibración de  volumen de la SIC,   AK  50 # 26-55 Int 2,  piso 5.</v>
      </c>
      <c r="B31" s="1731"/>
      <c r="C31" s="1731"/>
      <c r="D31" s="1731"/>
      <c r="E31" s="1731"/>
      <c r="F31" s="1731"/>
      <c r="G31" s="1731"/>
      <c r="H31" s="1731"/>
      <c r="I31" s="1731"/>
      <c r="J31" s="1731"/>
      <c r="K31" s="1731"/>
    </row>
    <row r="32" spans="1:26" ht="18" customHeight="1" x14ac:dyDescent="0.25">
      <c r="A32" s="1731"/>
      <c r="B32" s="1731"/>
      <c r="C32" s="1731"/>
      <c r="D32" s="1731"/>
      <c r="E32" s="1731"/>
      <c r="F32" s="1731"/>
      <c r="G32" s="1731"/>
      <c r="H32" s="1731"/>
      <c r="I32" s="1731"/>
      <c r="J32" s="1731"/>
      <c r="K32" s="1731"/>
    </row>
    <row r="33" spans="1:11" ht="18" customHeight="1" x14ac:dyDescent="0.25">
      <c r="G33" s="799"/>
      <c r="H33" s="799"/>
      <c r="I33" s="799"/>
      <c r="J33" s="799"/>
    </row>
    <row r="34" spans="1:11" ht="18" customHeight="1" x14ac:dyDescent="0.25">
      <c r="A34" s="1730" t="s">
        <v>377</v>
      </c>
      <c r="B34" s="1730"/>
      <c r="C34" s="1730"/>
      <c r="D34" s="1730"/>
      <c r="E34" s="1731">
        <f>DATOS°!J8</f>
        <v>0</v>
      </c>
      <c r="F34" s="1731"/>
      <c r="G34" s="175"/>
      <c r="H34" s="77"/>
      <c r="I34" s="77"/>
      <c r="J34" s="77"/>
      <c r="K34" s="77"/>
    </row>
    <row r="35" spans="1:11" ht="18" customHeight="1" x14ac:dyDescent="0.25">
      <c r="A35" s="77"/>
      <c r="B35" s="77"/>
      <c r="C35" s="77"/>
      <c r="D35" s="77"/>
      <c r="E35" s="77"/>
      <c r="F35" s="178"/>
      <c r="G35" s="178"/>
      <c r="H35" s="77"/>
      <c r="I35" s="77"/>
      <c r="J35" s="77"/>
      <c r="K35" s="77"/>
    </row>
    <row r="36" spans="1:11" ht="18" customHeight="1" x14ac:dyDescent="0.25">
      <c r="A36" s="1683" t="s">
        <v>441</v>
      </c>
      <c r="B36" s="1683"/>
      <c r="C36" s="1683"/>
      <c r="D36" s="1683"/>
      <c r="E36" s="1683"/>
      <c r="F36" s="1683"/>
      <c r="G36" s="1683"/>
      <c r="H36" s="1683"/>
      <c r="I36" s="1086"/>
      <c r="J36" s="811"/>
      <c r="K36" s="77"/>
    </row>
    <row r="37" spans="1:11" ht="18" customHeight="1" x14ac:dyDescent="0.25">
      <c r="A37" s="1079"/>
      <c r="B37" s="1079"/>
      <c r="C37" s="1079"/>
      <c r="D37" s="1079"/>
      <c r="E37" s="1079"/>
      <c r="F37" s="1079"/>
      <c r="G37" s="1079"/>
      <c r="H37" s="1079"/>
      <c r="I37" s="1079"/>
      <c r="J37" s="77"/>
      <c r="K37" s="77"/>
    </row>
    <row r="38" spans="1:11" ht="18" customHeight="1" x14ac:dyDescent="0.25">
      <c r="A38" s="1781" t="s">
        <v>442</v>
      </c>
      <c r="B38" s="1781"/>
      <c r="C38" s="1781"/>
      <c r="D38" s="1781"/>
      <c r="E38" s="1781"/>
      <c r="F38" s="1781"/>
      <c r="G38" s="1781"/>
      <c r="H38" s="1781"/>
      <c r="I38" s="1781"/>
      <c r="J38" s="1781"/>
      <c r="K38" s="1781"/>
    </row>
    <row r="39" spans="1:11" ht="18" customHeight="1" x14ac:dyDescent="0.25">
      <c r="A39" s="1781"/>
      <c r="B39" s="1781"/>
      <c r="C39" s="1781"/>
      <c r="D39" s="1781"/>
      <c r="E39" s="1781"/>
      <c r="F39" s="1781"/>
      <c r="G39" s="1781"/>
      <c r="H39" s="1781"/>
      <c r="I39" s="1781"/>
      <c r="J39" s="1781"/>
      <c r="K39" s="1781"/>
    </row>
    <row r="40" spans="1:11" ht="18" customHeight="1" x14ac:dyDescent="0.25">
      <c r="A40" s="1090"/>
      <c r="B40" s="1090"/>
      <c r="C40" s="1090"/>
      <c r="D40" s="1090"/>
      <c r="E40" s="1090"/>
      <c r="F40" s="1090"/>
      <c r="G40" s="1090"/>
      <c r="H40" s="1090"/>
      <c r="I40" s="1090"/>
      <c r="J40" s="1090"/>
      <c r="K40" s="1090"/>
    </row>
    <row r="41" spans="1:11" ht="18" customHeight="1" x14ac:dyDescent="0.25">
      <c r="A41" s="1090"/>
      <c r="B41" s="1090"/>
      <c r="C41" s="1090"/>
      <c r="D41" s="1090"/>
      <c r="E41" s="1090"/>
      <c r="F41" s="1090"/>
      <c r="G41" s="1090"/>
      <c r="H41" s="1090"/>
      <c r="I41" s="1090"/>
      <c r="J41" s="1090"/>
      <c r="K41" s="1090"/>
    </row>
    <row r="42" spans="1:11" ht="18" customHeight="1" x14ac:dyDescent="0.25">
      <c r="A42" s="1090"/>
      <c r="B42" s="1090"/>
      <c r="C42" s="1090"/>
      <c r="D42" s="1090"/>
      <c r="E42" s="1090"/>
      <c r="F42" s="1090"/>
      <c r="G42" s="1090"/>
      <c r="H42" s="1090"/>
      <c r="I42" s="1090"/>
      <c r="J42" s="1090"/>
      <c r="K42" s="1090"/>
    </row>
    <row r="43" spans="1:11" ht="18" customHeight="1" x14ac:dyDescent="0.25">
      <c r="A43" s="1090"/>
      <c r="B43" s="1090"/>
      <c r="C43" s="1090"/>
      <c r="D43" s="1090"/>
      <c r="E43" s="1090"/>
      <c r="F43" s="1090"/>
      <c r="G43" s="1090"/>
      <c r="H43" s="1090"/>
      <c r="I43" s="1090"/>
      <c r="J43" s="1090"/>
      <c r="K43" s="1090"/>
    </row>
    <row r="44" spans="1:11" ht="18" customHeight="1" x14ac:dyDescent="0.25">
      <c r="A44" s="1090"/>
      <c r="B44" s="1090"/>
      <c r="C44" s="1090"/>
      <c r="D44" s="1090"/>
      <c r="E44" s="1090"/>
      <c r="F44" s="1090"/>
      <c r="G44" s="1090"/>
      <c r="H44" s="1090"/>
      <c r="I44" s="1090"/>
      <c r="J44" s="1090"/>
      <c r="K44" s="1090"/>
    </row>
    <row r="45" spans="1:11" ht="120" customHeight="1" x14ac:dyDescent="0.25">
      <c r="A45" s="813"/>
      <c r="B45" s="813"/>
      <c r="C45" s="813"/>
      <c r="D45" s="813"/>
      <c r="E45" s="813"/>
      <c r="F45" s="813"/>
      <c r="G45" s="813"/>
      <c r="H45" s="813"/>
      <c r="I45" s="813"/>
      <c r="J45" s="813"/>
    </row>
    <row r="46" spans="1:11" ht="18" customHeight="1" x14ac:dyDescent="0.25">
      <c r="A46" s="813"/>
      <c r="B46" s="813"/>
      <c r="C46" s="813"/>
      <c r="D46" s="813"/>
      <c r="E46" s="813"/>
      <c r="F46" s="813"/>
      <c r="G46" s="813"/>
      <c r="H46" s="795" t="s">
        <v>373</v>
      </c>
      <c r="I46" s="1762">
        <f>I7</f>
        <v>0</v>
      </c>
      <c r="J46" s="1762"/>
      <c r="K46" s="1087"/>
    </row>
    <row r="47" spans="1:11" s="54" customFormat="1" ht="16.5" customHeight="1" x14ac:dyDescent="0.2">
      <c r="A47" s="1707" t="s">
        <v>47</v>
      </c>
      <c r="B47" s="1707"/>
      <c r="C47" s="814"/>
      <c r="D47" s="814"/>
      <c r="E47" s="814"/>
      <c r="F47" s="814"/>
      <c r="G47" s="814"/>
      <c r="H47" s="814"/>
      <c r="I47" s="814"/>
      <c r="J47" s="815"/>
    </row>
    <row r="48" spans="1:11" s="54" customFormat="1" ht="16.5" customHeight="1" x14ac:dyDescent="0.2">
      <c r="A48" s="816"/>
      <c r="B48" s="814"/>
      <c r="C48" s="814"/>
      <c r="D48" s="814"/>
      <c r="E48" s="814"/>
      <c r="F48" s="814"/>
      <c r="G48" s="814"/>
      <c r="H48" s="814"/>
      <c r="I48" s="814"/>
      <c r="J48" s="815"/>
    </row>
    <row r="49" spans="1:11" s="54" customFormat="1" ht="18" customHeight="1" x14ac:dyDescent="0.2">
      <c r="A49" s="814"/>
      <c r="B49" s="817"/>
      <c r="C49" s="1705" t="s">
        <v>46</v>
      </c>
      <c r="D49" s="1705"/>
      <c r="E49" s="1705"/>
      <c r="F49" s="1705"/>
      <c r="G49" s="1705"/>
      <c r="H49" s="1705"/>
      <c r="I49" s="1705"/>
      <c r="J49" s="1705"/>
      <c r="K49" s="1705"/>
    </row>
    <row r="50" spans="1:11" s="54" customFormat="1" ht="12" customHeight="1" x14ac:dyDescent="0.25">
      <c r="A50" s="818"/>
      <c r="B50" s="818"/>
      <c r="C50" s="819"/>
      <c r="D50" s="819"/>
      <c r="E50" s="819"/>
      <c r="F50" s="819"/>
      <c r="G50" s="801"/>
      <c r="H50" s="795"/>
      <c r="I50" s="1082"/>
      <c r="J50" s="1082"/>
      <c r="K50" s="801"/>
    </row>
    <row r="51" spans="1:11" s="54" customFormat="1" ht="18" customHeight="1" x14ac:dyDescent="0.2">
      <c r="A51" s="814"/>
      <c r="B51" s="821"/>
      <c r="C51" s="1682" t="s">
        <v>374</v>
      </c>
      <c r="D51" s="1682"/>
      <c r="E51" s="1682"/>
      <c r="F51" s="1682"/>
      <c r="G51" s="1682"/>
      <c r="H51" s="1682"/>
      <c r="I51" s="1682"/>
      <c r="J51" s="1682"/>
      <c r="K51" s="1682"/>
    </row>
    <row r="52" spans="1:11" s="54" customFormat="1" ht="18" customHeight="1" x14ac:dyDescent="0.2">
      <c r="A52" s="814"/>
      <c r="B52" s="821"/>
      <c r="C52" s="1682"/>
      <c r="D52" s="1682"/>
      <c r="E52" s="1682"/>
      <c r="F52" s="1682"/>
      <c r="G52" s="1682"/>
      <c r="H52" s="1682"/>
      <c r="I52" s="1682"/>
      <c r="J52" s="1682"/>
      <c r="K52" s="1682"/>
    </row>
    <row r="53" spans="1:11" s="54" customFormat="1" ht="15.95" customHeight="1" x14ac:dyDescent="0.2">
      <c r="A53" s="814"/>
      <c r="B53" s="821"/>
      <c r="C53" s="1084"/>
      <c r="D53" s="1084"/>
      <c r="E53" s="1084"/>
      <c r="F53" s="1084"/>
      <c r="G53" s="1084"/>
      <c r="H53" s="1084"/>
      <c r="I53" s="1084"/>
      <c r="J53" s="1084"/>
      <c r="K53" s="77"/>
    </row>
    <row r="54" spans="1:11" s="54" customFormat="1" ht="18" customHeight="1" x14ac:dyDescent="0.2">
      <c r="A54" s="814"/>
      <c r="B54" s="814"/>
      <c r="C54" s="1692" t="s">
        <v>55</v>
      </c>
      <c r="D54" s="1692"/>
      <c r="E54" s="1692"/>
      <c r="F54" s="1692"/>
      <c r="G54" s="1692"/>
      <c r="H54" s="1692"/>
      <c r="I54" s="1692"/>
      <c r="J54" s="1692"/>
      <c r="K54" s="1692"/>
    </row>
    <row r="55" spans="1:11" s="54" customFormat="1" ht="15.95" customHeight="1" x14ac:dyDescent="0.2">
      <c r="A55" s="814"/>
      <c r="B55" s="814"/>
      <c r="C55" s="1090"/>
      <c r="D55" s="1090"/>
      <c r="E55" s="1090"/>
      <c r="F55" s="1090"/>
      <c r="G55" s="1090"/>
      <c r="H55" s="1090"/>
      <c r="I55" s="1090"/>
      <c r="J55" s="1090"/>
      <c r="K55" s="77"/>
    </row>
    <row r="56" spans="1:11" s="54" customFormat="1" ht="18" customHeight="1" x14ac:dyDescent="0.2">
      <c r="A56" s="814"/>
      <c r="B56" s="814"/>
      <c r="C56" s="1704" t="s">
        <v>375</v>
      </c>
      <c r="D56" s="1704"/>
      <c r="E56" s="1704"/>
      <c r="F56" s="1704"/>
      <c r="G56" s="1704"/>
      <c r="H56" s="1704"/>
      <c r="I56" s="1704"/>
      <c r="J56" s="1704"/>
      <c r="K56" s="1704"/>
    </row>
    <row r="57" spans="1:11" s="54" customFormat="1" ht="15.95" customHeight="1" x14ac:dyDescent="0.2">
      <c r="A57" s="814"/>
      <c r="B57" s="814"/>
      <c r="C57" s="1084"/>
      <c r="D57" s="1084"/>
      <c r="E57" s="1084"/>
      <c r="F57" s="1084"/>
      <c r="G57" s="1084"/>
      <c r="H57" s="1084"/>
      <c r="I57" s="1084"/>
      <c r="J57" s="1084"/>
      <c r="K57" s="77"/>
    </row>
    <row r="58" spans="1:11" s="54" customFormat="1" ht="18" customHeight="1" x14ac:dyDescent="0.2">
      <c r="A58" s="814"/>
      <c r="B58" s="814"/>
      <c r="C58" s="1704" t="s">
        <v>56</v>
      </c>
      <c r="D58" s="1704"/>
      <c r="E58" s="1704"/>
      <c r="F58" s="1704"/>
      <c r="G58" s="1704"/>
      <c r="H58" s="1704"/>
      <c r="I58" s="1704"/>
      <c r="J58" s="1704"/>
      <c r="K58" s="1704"/>
    </row>
    <row r="59" spans="1:11" s="54" customFormat="1" ht="15.95" customHeight="1" x14ac:dyDescent="0.2">
      <c r="A59" s="814"/>
      <c r="B59" s="814"/>
      <c r="C59" s="1704"/>
      <c r="D59" s="1704"/>
      <c r="E59" s="1704"/>
      <c r="F59" s="1704"/>
      <c r="G59" s="1704"/>
      <c r="H59" s="1704"/>
      <c r="I59" s="1704"/>
      <c r="J59" s="1704"/>
      <c r="K59" s="77"/>
    </row>
    <row r="60" spans="1:11" s="54" customFormat="1" ht="18" customHeight="1" x14ac:dyDescent="0.2">
      <c r="A60" s="814"/>
      <c r="B60" s="54" t="s">
        <v>12</v>
      </c>
      <c r="C60" s="1704" t="s">
        <v>57</v>
      </c>
      <c r="D60" s="1704"/>
      <c r="E60" s="1704"/>
      <c r="F60" s="1704"/>
      <c r="G60" s="1704"/>
      <c r="H60" s="1704"/>
      <c r="I60" s="1704"/>
      <c r="J60" s="1704"/>
      <c r="K60" s="1704"/>
    </row>
    <row r="61" spans="1:11" s="54" customFormat="1" ht="15.95" customHeight="1" x14ac:dyDescent="0.2">
      <c r="A61" s="814"/>
      <c r="C61" s="1704"/>
      <c r="D61" s="1704"/>
      <c r="E61" s="1704"/>
      <c r="F61" s="1704"/>
      <c r="G61" s="1704"/>
      <c r="H61" s="1704"/>
      <c r="I61" s="1704"/>
      <c r="J61" s="1704"/>
      <c r="K61" s="77"/>
    </row>
    <row r="62" spans="1:11" s="54" customFormat="1" ht="18" customHeight="1" x14ac:dyDescent="0.2">
      <c r="A62" s="814"/>
      <c r="B62" s="814"/>
      <c r="C62" s="1704" t="s">
        <v>58</v>
      </c>
      <c r="D62" s="1704"/>
      <c r="E62" s="1704"/>
      <c r="F62" s="1704"/>
      <c r="G62" s="1704"/>
      <c r="H62" s="1704"/>
      <c r="I62" s="1704"/>
      <c r="J62" s="1704"/>
      <c r="K62" s="1704"/>
    </row>
    <row r="63" spans="1:11" s="54" customFormat="1" ht="15.95" customHeight="1" x14ac:dyDescent="0.2">
      <c r="A63" s="814"/>
      <c r="B63" s="814"/>
      <c r="C63" s="1704"/>
      <c r="D63" s="1704"/>
      <c r="E63" s="1704"/>
      <c r="F63" s="1704"/>
      <c r="G63" s="1704"/>
      <c r="H63" s="1704"/>
      <c r="I63" s="1704"/>
      <c r="J63" s="1704"/>
      <c r="K63" s="77"/>
    </row>
    <row r="64" spans="1:11" s="54" customFormat="1" ht="18" customHeight="1" x14ac:dyDescent="0.2">
      <c r="A64" s="814"/>
      <c r="B64" s="814"/>
      <c r="C64" s="1704" t="s">
        <v>59</v>
      </c>
      <c r="D64" s="1704"/>
      <c r="E64" s="1704"/>
      <c r="F64" s="1704"/>
      <c r="G64" s="1704"/>
      <c r="H64" s="1704"/>
      <c r="I64" s="1704"/>
      <c r="J64" s="1704"/>
      <c r="K64" s="1704"/>
    </row>
    <row r="65" spans="1:13" s="54" customFormat="1" ht="15.95" customHeight="1" x14ac:dyDescent="0.2">
      <c r="A65" s="814"/>
      <c r="B65" s="814"/>
      <c r="C65" s="1704"/>
      <c r="D65" s="1704"/>
      <c r="E65" s="1704"/>
      <c r="F65" s="1704"/>
      <c r="G65" s="1704"/>
      <c r="H65" s="1704"/>
      <c r="I65" s="1704"/>
      <c r="J65" s="1704"/>
      <c r="K65" s="77"/>
    </row>
    <row r="66" spans="1:13" s="54" customFormat="1" ht="18" customHeight="1" x14ac:dyDescent="0.2">
      <c r="A66" s="814"/>
      <c r="B66" s="814"/>
      <c r="C66" s="1704" t="s">
        <v>60</v>
      </c>
      <c r="D66" s="1704"/>
      <c r="E66" s="1704"/>
      <c r="F66" s="1704"/>
      <c r="G66" s="1704"/>
      <c r="H66" s="1704"/>
      <c r="I66" s="1704"/>
      <c r="J66" s="1704"/>
      <c r="K66" s="1704"/>
    </row>
    <row r="67" spans="1:13" s="54" customFormat="1" ht="15.95" customHeight="1" x14ac:dyDescent="0.2">
      <c r="A67" s="814"/>
      <c r="B67" s="814"/>
      <c r="C67" s="1704"/>
      <c r="D67" s="1704"/>
      <c r="E67" s="1704"/>
      <c r="F67" s="1704"/>
      <c r="G67" s="1704"/>
      <c r="H67" s="1704"/>
      <c r="I67" s="1704"/>
      <c r="J67" s="1704"/>
      <c r="K67" s="77"/>
    </row>
    <row r="68" spans="1:13" s="54" customFormat="1" ht="18" customHeight="1" x14ac:dyDescent="0.2">
      <c r="A68" s="814"/>
      <c r="B68" s="814"/>
      <c r="C68" s="1704" t="s">
        <v>61</v>
      </c>
      <c r="D68" s="1704"/>
      <c r="E68" s="1704"/>
      <c r="F68" s="1704"/>
      <c r="G68" s="1704"/>
      <c r="H68" s="1704"/>
      <c r="I68" s="1704"/>
      <c r="J68" s="1704"/>
      <c r="K68" s="77"/>
    </row>
    <row r="69" spans="1:13" s="54" customFormat="1" ht="15.95" customHeight="1" x14ac:dyDescent="0.25">
      <c r="A69" s="814"/>
      <c r="B69" s="814"/>
      <c r="C69" s="1704"/>
      <c r="D69" s="1704"/>
      <c r="E69" s="1704"/>
      <c r="F69" s="1704"/>
      <c r="G69" s="1704"/>
      <c r="H69" s="1704"/>
      <c r="I69" s="1704"/>
      <c r="J69" s="1704"/>
      <c r="K69" s="77"/>
      <c r="L69" s="793"/>
      <c r="M69" s="793"/>
    </row>
    <row r="70" spans="1:13" s="54" customFormat="1" ht="18" customHeight="1" x14ac:dyDescent="0.25">
      <c r="A70" s="814"/>
      <c r="B70" s="814"/>
      <c r="C70" s="1726" t="s">
        <v>62</v>
      </c>
      <c r="D70" s="1726"/>
      <c r="E70" s="1726"/>
      <c r="F70" s="1726"/>
      <c r="G70" s="1726"/>
      <c r="H70" s="1726"/>
      <c r="I70" s="1085"/>
      <c r="J70" s="1085"/>
      <c r="K70" s="77"/>
      <c r="L70" s="793"/>
      <c r="M70" s="793"/>
    </row>
    <row r="71" spans="1:13" s="54" customFormat="1" ht="15.95" customHeight="1" x14ac:dyDescent="0.25">
      <c r="A71" s="814"/>
      <c r="B71" s="814"/>
      <c r="C71" s="1085"/>
      <c r="D71" s="1085"/>
      <c r="E71" s="1085"/>
      <c r="F71" s="1085"/>
      <c r="G71" s="1085"/>
      <c r="H71" s="1085"/>
      <c r="I71" s="1085"/>
      <c r="J71" s="1085"/>
      <c r="K71" s="77"/>
      <c r="L71" s="793"/>
      <c r="M71" s="793"/>
    </row>
    <row r="72" spans="1:13" s="54" customFormat="1" ht="18" customHeight="1" x14ac:dyDescent="0.25">
      <c r="A72" s="814"/>
      <c r="B72" s="814"/>
      <c r="C72" s="1726" t="s">
        <v>63</v>
      </c>
      <c r="D72" s="1726"/>
      <c r="E72" s="1726"/>
      <c r="F72" s="1726"/>
      <c r="G72" s="1726"/>
      <c r="H72" s="1726"/>
      <c r="I72" s="1085"/>
      <c r="J72" s="1085"/>
      <c r="K72" s="77"/>
      <c r="L72" s="793"/>
      <c r="M72" s="793"/>
    </row>
    <row r="73" spans="1:13" s="54" customFormat="1" ht="16.5" customHeight="1" x14ac:dyDescent="0.25">
      <c r="A73" s="814"/>
      <c r="B73" s="814"/>
      <c r="C73" s="815"/>
      <c r="D73" s="815"/>
      <c r="E73" s="815"/>
      <c r="F73" s="815"/>
      <c r="G73" s="815"/>
      <c r="H73" s="815"/>
      <c r="I73" s="824"/>
      <c r="J73" s="824"/>
      <c r="K73" s="793"/>
      <c r="L73" s="793"/>
      <c r="M73" s="793"/>
    </row>
    <row r="74" spans="1:13" ht="15.95" customHeight="1" x14ac:dyDescent="0.25">
      <c r="A74" s="814"/>
      <c r="B74" s="814"/>
      <c r="C74" s="815"/>
      <c r="D74" s="815"/>
      <c r="E74" s="815"/>
      <c r="F74" s="815"/>
      <c r="G74" s="815"/>
      <c r="H74" s="815"/>
      <c r="I74" s="824"/>
      <c r="J74" s="824"/>
    </row>
    <row r="75" spans="1:13" ht="20.100000000000001" customHeight="1" x14ac:dyDescent="0.25">
      <c r="A75" s="1683" t="s">
        <v>443</v>
      </c>
      <c r="B75" s="1683"/>
      <c r="C75" s="1683"/>
      <c r="D75" s="1683"/>
      <c r="E75" s="1683"/>
      <c r="F75" s="1080"/>
      <c r="G75" s="1080"/>
    </row>
    <row r="76" spans="1:13" ht="12" customHeight="1" x14ac:dyDescent="0.25">
      <c r="A76" s="825"/>
      <c r="B76" s="825"/>
      <c r="C76" s="825"/>
      <c r="D76" s="825"/>
      <c r="E76" s="825"/>
      <c r="F76" s="1080"/>
      <c r="G76" s="1080"/>
      <c r="H76" s="1080"/>
      <c r="I76" s="1080"/>
      <c r="J76" s="826"/>
    </row>
    <row r="77" spans="1:13" ht="15" customHeight="1" x14ac:dyDescent="0.25">
      <c r="A77" s="1692" t="s">
        <v>444</v>
      </c>
      <c r="B77" s="1692"/>
      <c r="C77" s="1692"/>
      <c r="D77" s="1692"/>
      <c r="E77" s="1692"/>
      <c r="F77" s="1692"/>
      <c r="G77" s="1692"/>
      <c r="H77" s="1692"/>
      <c r="I77" s="1692"/>
      <c r="J77" s="1692"/>
      <c r="K77" s="1692"/>
    </row>
    <row r="78" spans="1:13" ht="12" customHeight="1" thickBot="1" x14ac:dyDescent="0.3">
      <c r="A78" s="1079"/>
      <c r="B78" s="1079"/>
      <c r="C78" s="1079"/>
      <c r="D78" s="1079"/>
      <c r="E78" s="1079"/>
      <c r="F78" s="1079"/>
      <c r="G78" s="1079"/>
      <c r="H78" s="1079"/>
      <c r="I78" s="1079"/>
      <c r="J78" s="1090"/>
      <c r="K78" s="77"/>
    </row>
    <row r="79" spans="1:13" ht="16.5" customHeight="1" thickBot="1" x14ac:dyDescent="0.3">
      <c r="A79" s="1079"/>
      <c r="B79" s="1687" t="s">
        <v>335</v>
      </c>
      <c r="C79" s="1688"/>
      <c r="D79" s="1689" t="s">
        <v>40</v>
      </c>
      <c r="E79" s="1690"/>
      <c r="F79" s="1690"/>
      <c r="G79" s="1689" t="s">
        <v>41</v>
      </c>
      <c r="H79" s="1690"/>
      <c r="I79" s="1691"/>
      <c r="J79" s="1090"/>
      <c r="K79" s="77"/>
      <c r="L79" s="827"/>
    </row>
    <row r="80" spans="1:13" ht="30" customHeight="1" thickBot="1" x14ac:dyDescent="0.3">
      <c r="A80" s="77"/>
      <c r="B80" s="1736" t="e">
        <f>'RT03-F11° '!P37</f>
        <v>#DIV/0!</v>
      </c>
      <c r="C80" s="1737"/>
      <c r="D80" s="1693" t="e">
        <f>'RT03-F11° '!P38</f>
        <v>#DIV/0!</v>
      </c>
      <c r="E80" s="1694"/>
      <c r="F80" s="1695"/>
      <c r="G80" s="1733" t="e">
        <f>'RT03-F11° '!P39</f>
        <v>#DIV/0!</v>
      </c>
      <c r="H80" s="1734"/>
      <c r="I80" s="1735"/>
      <c r="J80" s="1090"/>
      <c r="K80" s="77"/>
    </row>
    <row r="81" spans="1:11" ht="15.95" customHeight="1" x14ac:dyDescent="0.25">
      <c r="A81" s="1080"/>
      <c r="B81" s="1080"/>
      <c r="C81" s="803"/>
      <c r="D81" s="1080"/>
      <c r="E81" s="1080"/>
      <c r="F81" s="1080"/>
      <c r="G81" s="1080"/>
      <c r="H81" s="1080"/>
      <c r="I81" s="1080"/>
      <c r="J81" s="826"/>
    </row>
    <row r="82" spans="1:11" ht="20.100000000000001" customHeight="1" x14ac:dyDescent="0.25">
      <c r="A82" s="1683" t="s">
        <v>445</v>
      </c>
      <c r="B82" s="1683"/>
      <c r="C82" s="1683"/>
      <c r="D82" s="1683"/>
      <c r="E82" s="1683"/>
      <c r="F82" s="1079"/>
      <c r="G82" s="1079"/>
      <c r="H82" s="1079"/>
      <c r="I82" s="1079"/>
      <c r="J82" s="828"/>
      <c r="K82" s="77"/>
    </row>
    <row r="83" spans="1:11" ht="12" customHeight="1" x14ac:dyDescent="0.25">
      <c r="A83" s="811"/>
      <c r="B83" s="1079"/>
      <c r="C83" s="1079"/>
      <c r="D83" s="1079"/>
      <c r="E83" s="1079"/>
      <c r="F83" s="1079"/>
      <c r="G83" s="1079"/>
      <c r="H83" s="1079"/>
      <c r="I83" s="1079"/>
      <c r="J83" s="1090"/>
      <c r="K83" s="77"/>
    </row>
    <row r="84" spans="1:11" ht="21.75" customHeight="1" x14ac:dyDescent="0.25">
      <c r="A84" s="1780" t="s">
        <v>541</v>
      </c>
      <c r="B84" s="1780"/>
      <c r="C84" s="1780"/>
      <c r="D84" s="1780"/>
      <c r="E84" s="1780"/>
      <c r="F84" s="1780"/>
      <c r="G84" s="1780"/>
      <c r="H84" s="1780"/>
      <c r="I84" s="1780"/>
      <c r="J84" s="1780"/>
      <c r="K84" s="1780"/>
    </row>
    <row r="85" spans="1:11" ht="21.75" customHeight="1" x14ac:dyDescent="0.25">
      <c r="A85" s="1780"/>
      <c r="B85" s="1780"/>
      <c r="C85" s="1780"/>
      <c r="D85" s="1780"/>
      <c r="E85" s="1780"/>
      <c r="F85" s="1780"/>
      <c r="G85" s="1780"/>
      <c r="H85" s="1780"/>
      <c r="I85" s="1780"/>
      <c r="J85" s="1780"/>
      <c r="K85" s="1780"/>
    </row>
    <row r="86" spans="1:11" ht="15.95" customHeight="1" x14ac:dyDescent="0.25">
      <c r="A86" s="829"/>
      <c r="B86" s="829"/>
      <c r="C86" s="829"/>
      <c r="D86" s="829"/>
      <c r="E86" s="829"/>
      <c r="F86" s="829"/>
      <c r="G86" s="829"/>
      <c r="H86" s="829"/>
      <c r="I86" s="829"/>
      <c r="J86" s="829"/>
      <c r="K86" s="830"/>
    </row>
    <row r="87" spans="1:11" ht="120" customHeight="1" x14ac:dyDescent="0.25">
      <c r="A87" s="829"/>
      <c r="B87" s="829"/>
      <c r="C87" s="829"/>
      <c r="D87" s="829"/>
      <c r="E87" s="829"/>
      <c r="F87" s="829"/>
      <c r="G87" s="829"/>
      <c r="H87" s="829"/>
      <c r="I87" s="829"/>
      <c r="J87" s="829"/>
      <c r="K87" s="830"/>
    </row>
    <row r="88" spans="1:11" ht="15.95" customHeight="1" x14ac:dyDescent="0.25">
      <c r="A88" s="829"/>
      <c r="B88" s="829"/>
      <c r="C88" s="829"/>
      <c r="D88" s="829"/>
      <c r="E88" s="829"/>
      <c r="F88" s="829"/>
      <c r="G88" s="829"/>
      <c r="H88" s="795" t="s">
        <v>373</v>
      </c>
      <c r="I88" s="1762">
        <f>I7</f>
        <v>0</v>
      </c>
      <c r="J88" s="1762"/>
      <c r="K88" s="1087"/>
    </row>
    <row r="89" spans="1:11" s="831" customFormat="1" ht="20.100000000000001" customHeight="1" x14ac:dyDescent="0.3">
      <c r="A89" s="1683" t="s">
        <v>446</v>
      </c>
      <c r="B89" s="1683"/>
      <c r="C89" s="1683"/>
      <c r="D89" s="1683"/>
      <c r="E89" s="1683"/>
      <c r="F89" s="1024"/>
      <c r="G89" s="1024"/>
      <c r="H89" s="830"/>
      <c r="I89" s="830"/>
      <c r="J89" s="1025"/>
      <c r="K89" s="830"/>
    </row>
    <row r="90" spans="1:11" ht="12" customHeight="1" x14ac:dyDescent="0.25">
      <c r="A90" s="832"/>
      <c r="B90" s="832"/>
      <c r="C90" s="832"/>
      <c r="D90" s="832"/>
      <c r="E90" s="832"/>
      <c r="F90" s="1079"/>
      <c r="G90" s="1079"/>
      <c r="H90" s="77"/>
      <c r="I90" s="77"/>
      <c r="J90" s="1090"/>
      <c r="K90" s="77"/>
    </row>
    <row r="91" spans="1:11" ht="51" customHeight="1" x14ac:dyDescent="0.25">
      <c r="A91" s="1780" t="s">
        <v>431</v>
      </c>
      <c r="B91" s="1780"/>
      <c r="C91" s="1780"/>
      <c r="D91" s="1780"/>
      <c r="E91" s="1780"/>
      <c r="F91" s="1780"/>
      <c r="G91" s="1780"/>
      <c r="H91" s="1780"/>
      <c r="I91" s="1780"/>
      <c r="J91" s="1780"/>
      <c r="K91" s="1780"/>
    </row>
    <row r="92" spans="1:11" ht="15.95" customHeight="1" thickBot="1" x14ac:dyDescent="0.3">
      <c r="A92" s="833"/>
      <c r="B92" s="833"/>
      <c r="C92" s="833"/>
      <c r="D92" s="833"/>
      <c r="E92" s="833"/>
      <c r="F92" s="833"/>
      <c r="G92" s="833"/>
      <c r="H92" s="833"/>
      <c r="I92" s="833"/>
      <c r="J92" s="833"/>
    </row>
    <row r="93" spans="1:11" ht="24.95" customHeight="1" thickBot="1" x14ac:dyDescent="0.3">
      <c r="A93" s="1684" t="s">
        <v>64</v>
      </c>
      <c r="B93" s="1685"/>
      <c r="C93" s="1686"/>
      <c r="D93" s="1091" t="s">
        <v>44</v>
      </c>
      <c r="E93" s="1662" t="s">
        <v>432</v>
      </c>
      <c r="F93" s="1663"/>
      <c r="G93" s="1684" t="s">
        <v>65</v>
      </c>
      <c r="H93" s="1685"/>
      <c r="I93" s="1684" t="s">
        <v>66</v>
      </c>
      <c r="J93" s="1686"/>
      <c r="K93" s="835"/>
    </row>
    <row r="94" spans="1:11" ht="41.25" customHeight="1" x14ac:dyDescent="0.25">
      <c r="A94" s="1718" t="s">
        <v>493</v>
      </c>
      <c r="B94" s="1719"/>
      <c r="C94" s="1719"/>
      <c r="D94" s="1081" t="str">
        <f>DATOS°!D31</f>
        <v>Serhapin test Measure</v>
      </c>
      <c r="E94" s="1775" t="s">
        <v>433</v>
      </c>
      <c r="F94" s="1776"/>
      <c r="G94" s="1777" t="str">
        <f>DATOS°!E31</f>
        <v xml:space="preserve">16-5935702    C-I V-005         </v>
      </c>
      <c r="H94" s="1778"/>
      <c r="I94" s="1777" t="str">
        <f>DATOS°!L31</f>
        <v>INM 3688</v>
      </c>
      <c r="J94" s="1779"/>
      <c r="K94" s="835"/>
    </row>
    <row r="95" spans="1:11" ht="27" customHeight="1" x14ac:dyDescent="0.25">
      <c r="A95" s="1698" t="s">
        <v>412</v>
      </c>
      <c r="B95" s="1699"/>
      <c r="C95" s="1699"/>
      <c r="D95" s="1092" t="str">
        <f>DATOS°!D38</f>
        <v xml:space="preserve">Lufft </v>
      </c>
      <c r="E95" s="1770" t="s">
        <v>434</v>
      </c>
      <c r="F95" s="1771"/>
      <c r="G95" s="1772" t="str">
        <f>DATOS°!E44</f>
        <v xml:space="preserve">004,0816,1212,006 / pt 347980,002     </v>
      </c>
      <c r="H95" s="1773"/>
      <c r="I95" s="1772" t="str">
        <f>DATOS°!L44</f>
        <v>INM 3934</v>
      </c>
      <c r="J95" s="1774"/>
      <c r="K95" s="835"/>
    </row>
    <row r="96" spans="1:11" ht="27" customHeight="1" x14ac:dyDescent="0.25">
      <c r="A96" s="1698" t="s">
        <v>413</v>
      </c>
      <c r="B96" s="1699"/>
      <c r="C96" s="1699"/>
      <c r="D96" s="1092" t="str">
        <f>DATOS°!D44</f>
        <v xml:space="preserve">Lufft </v>
      </c>
      <c r="E96" s="1770" t="s">
        <v>434</v>
      </c>
      <c r="F96" s="1771"/>
      <c r="G96" s="1772" t="str">
        <f>DATOS°!E38</f>
        <v xml:space="preserve">22,1014,1212,,005 / pt 347980,004     </v>
      </c>
      <c r="H96" s="1773"/>
      <c r="I96" s="1772" t="str">
        <f>DATOS°!L38</f>
        <v>INM 3933</v>
      </c>
      <c r="J96" s="1774"/>
      <c r="K96" s="835"/>
    </row>
    <row r="97" spans="1:13" ht="27" customHeight="1" thickBot="1" x14ac:dyDescent="0.3">
      <c r="A97" s="1751" t="s">
        <v>32</v>
      </c>
      <c r="B97" s="1752"/>
      <c r="C97" s="1752"/>
      <c r="D97" s="1121" t="e">
        <f>VLOOKUP(K97,DATOS°!$C$112:$L$118,2,FALSE)</f>
        <v>#N/A</v>
      </c>
      <c r="E97" s="1667" t="e">
        <f>VLOOKUP(K97,DATOS°!$C$112:$L$118,4,FALSE)</f>
        <v>#N/A</v>
      </c>
      <c r="F97" s="1668"/>
      <c r="G97" s="1710" t="e">
        <f>VLOOKUP(K97,DATOS°!$C$112:$L$118,3,FALSE)</f>
        <v>#N/A</v>
      </c>
      <c r="H97" s="1711"/>
      <c r="I97" s="1712" t="e">
        <f>VLOOKUP(K97,DATOS°!$C$112:$L$118,10,FALSE)</f>
        <v>#N/A</v>
      </c>
      <c r="J97" s="1713"/>
      <c r="K97" s="836"/>
    </row>
    <row r="98" spans="1:13" ht="15.95" customHeight="1" x14ac:dyDescent="0.25">
      <c r="B98" s="1089"/>
      <c r="C98" s="1089"/>
      <c r="D98" s="837"/>
      <c r="E98" s="837"/>
      <c r="F98" s="803"/>
      <c r="G98" s="837"/>
      <c r="H98" s="837"/>
      <c r="I98" s="837"/>
      <c r="J98" s="837"/>
      <c r="K98" s="838"/>
      <c r="L98" s="838"/>
      <c r="M98" s="838"/>
    </row>
    <row r="99" spans="1:13" s="831" customFormat="1" ht="20.100000000000001" customHeight="1" x14ac:dyDescent="0.3">
      <c r="A99" s="1683" t="s">
        <v>447</v>
      </c>
      <c r="B99" s="1683"/>
      <c r="C99" s="1683"/>
      <c r="D99" s="1683"/>
      <c r="E99" s="1683"/>
      <c r="F99" s="1683"/>
      <c r="G99" s="1683"/>
      <c r="H99" s="1683"/>
      <c r="I99" s="1683"/>
      <c r="J99" s="1683"/>
      <c r="K99" s="1683"/>
      <c r="L99" s="839"/>
      <c r="M99" s="839"/>
    </row>
    <row r="100" spans="1:13" s="831" customFormat="1" ht="12" customHeight="1" x14ac:dyDescent="0.3">
      <c r="A100" s="840"/>
      <c r="B100" s="840"/>
      <c r="C100" s="840"/>
      <c r="D100" s="840"/>
      <c r="E100" s="840"/>
      <c r="F100" s="818"/>
      <c r="G100" s="818"/>
      <c r="H100" s="818"/>
      <c r="I100" s="818"/>
      <c r="J100" s="841"/>
      <c r="K100" s="839"/>
      <c r="L100" s="839"/>
      <c r="M100" s="839"/>
    </row>
    <row r="101" spans="1:13" ht="15" customHeight="1" thickBot="1" x14ac:dyDescent="0.3">
      <c r="A101" s="1702" t="s">
        <v>376</v>
      </c>
      <c r="B101" s="1702"/>
      <c r="C101" s="1702"/>
      <c r="D101" s="1702"/>
      <c r="E101" s="1702"/>
      <c r="F101" s="1702"/>
      <c r="G101" s="1702"/>
      <c r="H101" s="1702"/>
      <c r="I101" s="1702"/>
      <c r="J101" s="826"/>
      <c r="K101" s="838"/>
      <c r="L101" s="838"/>
      <c r="M101" s="838"/>
    </row>
    <row r="102" spans="1:13" ht="39.950000000000003" customHeight="1" thickBot="1" x14ac:dyDescent="0.3">
      <c r="A102" s="1662" t="s">
        <v>33</v>
      </c>
      <c r="B102" s="1663"/>
      <c r="C102" s="1662" t="s">
        <v>34</v>
      </c>
      <c r="D102" s="1664"/>
      <c r="E102" s="1663"/>
      <c r="F102" s="1662" t="s">
        <v>408</v>
      </c>
      <c r="G102" s="1663"/>
      <c r="H102" s="842" t="s">
        <v>494</v>
      </c>
      <c r="I102" s="1026"/>
    </row>
    <row r="103" spans="1:13" s="838" customFormat="1" ht="24.95" customHeight="1" thickBot="1" x14ac:dyDescent="0.3">
      <c r="A103" s="1720" t="e">
        <f>'RT03-F11° '!$F$29</f>
        <v>#N/A</v>
      </c>
      <c r="B103" s="1721"/>
      <c r="C103" s="1769">
        <f>'RT03-F11° '!M30</f>
        <v>18927.055</v>
      </c>
      <c r="D103" s="1769"/>
      <c r="E103" s="843" t="s">
        <v>4</v>
      </c>
      <c r="F103" s="1046" t="e">
        <f>'RT03-F11° '!C121</f>
        <v>#N/A</v>
      </c>
      <c r="G103" s="844" t="s">
        <v>4</v>
      </c>
      <c r="H103" s="845" t="e">
        <f>IF('RT03-F11° '!F121&lt;=(DATOS°!Q152),"6,3","AJUSTAR")</f>
        <v>#N/A</v>
      </c>
      <c r="I103" s="844" t="s">
        <v>4</v>
      </c>
      <c r="J103" s="793"/>
      <c r="K103" s="793"/>
    </row>
    <row r="104" spans="1:13" s="838" customFormat="1" ht="24.95" customHeight="1" thickBot="1" x14ac:dyDescent="0.3">
      <c r="A104" s="1722"/>
      <c r="B104" s="1723"/>
      <c r="C104" s="1763">
        <f>'RT03-F11° '!M28</f>
        <v>1155.0000427166315</v>
      </c>
      <c r="D104" s="1764"/>
      <c r="E104" s="846" t="s">
        <v>524</v>
      </c>
      <c r="F104" s="1126" t="e">
        <f>'RT03-F11° '!C122</f>
        <v>#N/A</v>
      </c>
      <c r="G104" s="847" t="s">
        <v>524</v>
      </c>
      <c r="H104" s="845" t="e">
        <f>IF('RT03-F11° '!F122&lt;=(DATOS°!R152),"0,38","AJUSTAR")</f>
        <v>#N/A</v>
      </c>
      <c r="I104" s="847" t="s">
        <v>524</v>
      </c>
      <c r="K104" s="793"/>
    </row>
    <row r="105" spans="1:13" s="838" customFormat="1" ht="24.95" customHeight="1" thickBot="1" x14ac:dyDescent="0.3">
      <c r="A105" s="1722"/>
      <c r="B105" s="1723"/>
      <c r="C105" s="1765">
        <f>'RT03-F11° '!M27</f>
        <v>5</v>
      </c>
      <c r="D105" s="1766"/>
      <c r="E105" s="846" t="s">
        <v>9</v>
      </c>
      <c r="F105" s="848" t="e">
        <f>'RT03-F11° '!C123</f>
        <v>#N/A</v>
      </c>
      <c r="G105" s="847" t="s">
        <v>9</v>
      </c>
      <c r="H105" s="845" t="e">
        <f>IF('RT03-F11° '!F123&lt;=(DATOS°!S152),"0,0017","AJUSTAR")</f>
        <v>#N/A</v>
      </c>
      <c r="I105" s="847" t="s">
        <v>9</v>
      </c>
      <c r="K105" s="793"/>
    </row>
    <row r="106" spans="1:13" ht="24" customHeight="1" thickBot="1" x14ac:dyDescent="0.3">
      <c r="A106" s="1724"/>
      <c r="B106" s="1725"/>
      <c r="C106" s="1767">
        <v>100</v>
      </c>
      <c r="D106" s="1768"/>
      <c r="E106" s="846" t="s">
        <v>336</v>
      </c>
      <c r="F106" s="848" t="e">
        <f>'RT03-F11° '!C124</f>
        <v>#N/A</v>
      </c>
      <c r="G106" s="846" t="s">
        <v>336</v>
      </c>
      <c r="H106" s="845" t="e">
        <f>IF('RT03-F11° '!F123&lt;=(DATOS°!S152),"0,063","AJUSTAR")</f>
        <v>#N/A</v>
      </c>
      <c r="I106" s="847" t="s">
        <v>336</v>
      </c>
      <c r="J106" s="838"/>
    </row>
    <row r="107" spans="1:13" ht="15.95" customHeight="1" x14ac:dyDescent="0.25">
      <c r="A107" s="849"/>
      <c r="B107" s="850"/>
      <c r="C107" s="851"/>
      <c r="D107" s="851"/>
      <c r="E107" s="3"/>
      <c r="F107" s="852"/>
      <c r="G107" s="3"/>
      <c r="H107" s="853"/>
      <c r="I107" s="8"/>
      <c r="J107" s="838"/>
    </row>
    <row r="108" spans="1:13" ht="15" customHeight="1" thickBot="1" x14ac:dyDescent="0.3">
      <c r="A108" s="854" t="s">
        <v>409</v>
      </c>
      <c r="B108" s="854"/>
      <c r="C108" s="854"/>
      <c r="D108" s="854"/>
      <c r="E108" s="854"/>
      <c r="F108" s="854"/>
      <c r="G108" s="854"/>
      <c r="H108" s="854"/>
      <c r="I108" s="854"/>
    </row>
    <row r="109" spans="1:13" s="835" customFormat="1" ht="39.950000000000003" customHeight="1" thickBot="1" x14ac:dyDescent="0.25">
      <c r="A109" s="855" t="s">
        <v>33</v>
      </c>
      <c r="B109" s="856"/>
      <c r="C109" s="855" t="s">
        <v>34</v>
      </c>
      <c r="D109" s="856"/>
      <c r="E109" s="855"/>
      <c r="F109" s="1662" t="s">
        <v>408</v>
      </c>
      <c r="G109" s="1664"/>
      <c r="H109" s="842" t="s">
        <v>494</v>
      </c>
      <c r="I109" s="1026"/>
    </row>
    <row r="110" spans="1:13" ht="24.95" customHeight="1" thickBot="1" x14ac:dyDescent="0.3">
      <c r="A110" s="1720" t="e">
        <f>A103</f>
        <v>#N/A</v>
      </c>
      <c r="B110" s="1721"/>
      <c r="C110" s="845">
        <f>C103</f>
        <v>18927.055</v>
      </c>
      <c r="D110" s="845"/>
      <c r="E110" s="846" t="s">
        <v>4</v>
      </c>
      <c r="F110" s="1046" t="e">
        <f>'CALIBRACION DESPUES DE AJUSTE°'!C121</f>
        <v>#N/A</v>
      </c>
      <c r="G110" s="858" t="s">
        <v>4</v>
      </c>
      <c r="H110" s="857" t="e">
        <f>IF('RT03-F11° '!F121&lt;=(DATOS°!Q152),"6,3","AJUSTAR")</f>
        <v>#N/A</v>
      </c>
      <c r="I110" s="846" t="s">
        <v>4</v>
      </c>
    </row>
    <row r="111" spans="1:13" ht="24.95" customHeight="1" thickBot="1" x14ac:dyDescent="0.3">
      <c r="A111" s="1722"/>
      <c r="B111" s="1723"/>
      <c r="C111" s="859">
        <f>C104</f>
        <v>1155.0000427166315</v>
      </c>
      <c r="D111" s="859"/>
      <c r="E111" s="846" t="s">
        <v>524</v>
      </c>
      <c r="F111" s="1126" t="e">
        <f>'CALIBRACION DESPUES DE AJUSTE°'!C122</f>
        <v>#N/A</v>
      </c>
      <c r="G111" s="858" t="s">
        <v>524</v>
      </c>
      <c r="H111" s="857" t="e">
        <f>IF('RT03-F11° '!F122&lt;=(DATOS°!R152),"0,38","AJUSTAR")</f>
        <v>#N/A</v>
      </c>
      <c r="I111" s="846" t="s">
        <v>524</v>
      </c>
    </row>
    <row r="112" spans="1:13" ht="24.95" customHeight="1" thickBot="1" x14ac:dyDescent="0.3">
      <c r="A112" s="1722"/>
      <c r="B112" s="1723"/>
      <c r="C112" s="860">
        <f>C105</f>
        <v>5</v>
      </c>
      <c r="D112" s="859"/>
      <c r="E112" s="846" t="s">
        <v>9</v>
      </c>
      <c r="F112" s="1047" t="e">
        <f>'CALIBRACION DESPUES DE AJUSTE°'!C123</f>
        <v>#N/A</v>
      </c>
      <c r="G112" s="858" t="s">
        <v>9</v>
      </c>
      <c r="H112" s="857" t="e">
        <f>IF('RT03-F11° '!F123&lt;=(DATOS°!S152),"0,0017","AJUSTAR")</f>
        <v>#N/A</v>
      </c>
      <c r="I112" s="846" t="s">
        <v>9</v>
      </c>
    </row>
    <row r="113" spans="1:12" ht="22.5" customHeight="1" thickBot="1" x14ac:dyDescent="0.3">
      <c r="A113" s="1724"/>
      <c r="B113" s="1725"/>
      <c r="C113" s="1767">
        <v>100</v>
      </c>
      <c r="D113" s="1768"/>
      <c r="E113" s="846" t="s">
        <v>336</v>
      </c>
      <c r="F113" s="848" t="e">
        <f>'CALIBRACION DESPUES DE AJUSTE°'!C124</f>
        <v>#N/A</v>
      </c>
      <c r="G113" s="846" t="s">
        <v>336</v>
      </c>
      <c r="H113" s="845" t="e">
        <f>IF('RT03-F11° '!F123&lt;=(DATOS°!S152),"0,063","AJUSTAR")</f>
        <v>#N/A</v>
      </c>
      <c r="I113" s="861" t="s">
        <v>336</v>
      </c>
      <c r="J113" s="838"/>
    </row>
    <row r="114" spans="1:12" ht="15.95" customHeight="1" thickBot="1" x14ac:dyDescent="0.3"/>
    <row r="115" spans="1:12" ht="18" customHeight="1" thickBot="1" x14ac:dyDescent="0.3">
      <c r="A115" s="1652" t="s">
        <v>448</v>
      </c>
      <c r="B115" s="1652"/>
      <c r="C115" s="1652"/>
      <c r="D115" s="1652"/>
      <c r="E115" s="1652"/>
      <c r="F115" s="862" t="e">
        <f>IF((F110)," SI","NO")</f>
        <v>#N/A</v>
      </c>
      <c r="G115" s="77"/>
      <c r="H115" s="77"/>
      <c r="I115" s="77"/>
    </row>
    <row r="116" spans="1:12" ht="15.95" customHeight="1" thickBot="1" x14ac:dyDescent="0.3">
      <c r="A116" s="863"/>
      <c r="B116" s="863"/>
      <c r="C116" s="863"/>
      <c r="D116" s="863"/>
      <c r="E116" s="863"/>
      <c r="F116" s="77"/>
      <c r="G116" s="77"/>
      <c r="H116" s="77"/>
      <c r="I116" s="77"/>
      <c r="J116" s="837"/>
    </row>
    <row r="117" spans="1:12" ht="15" customHeight="1" thickBot="1" x14ac:dyDescent="0.3">
      <c r="A117" s="1716" t="s">
        <v>273</v>
      </c>
      <c r="B117" s="1716"/>
      <c r="C117" s="1716"/>
      <c r="D117" s="1716"/>
      <c r="E117" s="1716"/>
      <c r="F117" s="864" t="s">
        <v>424</v>
      </c>
      <c r="G117" s="819"/>
      <c r="H117" s="1075"/>
      <c r="I117" s="819"/>
      <c r="J117" s="1080"/>
    </row>
    <row r="118" spans="1:12" ht="15.95" customHeight="1" x14ac:dyDescent="0.25">
      <c r="A118" s="865"/>
      <c r="B118" s="865"/>
      <c r="C118" s="865"/>
      <c r="D118" s="865"/>
      <c r="E118" s="865"/>
      <c r="F118" s="865"/>
      <c r="G118" s="865"/>
      <c r="H118" s="77"/>
      <c r="I118" s="77"/>
    </row>
    <row r="119" spans="1:12" ht="16.5" customHeight="1" x14ac:dyDescent="0.25">
      <c r="A119" s="1677" t="s">
        <v>450</v>
      </c>
      <c r="B119" s="1677"/>
      <c r="C119" s="1677"/>
      <c r="D119" s="1677"/>
      <c r="E119" s="1677"/>
      <c r="F119" s="1677"/>
      <c r="G119" s="1677"/>
      <c r="H119" s="1677"/>
      <c r="I119" s="1677"/>
      <c r="J119" s="803"/>
    </row>
    <row r="120" spans="1:12" ht="12" customHeight="1" thickBot="1" x14ac:dyDescent="0.3">
      <c r="A120" s="1083"/>
      <c r="B120" s="1083"/>
      <c r="C120" s="1083"/>
      <c r="D120" s="1083"/>
      <c r="E120" s="1083"/>
      <c r="F120" s="1083"/>
      <c r="G120" s="1083"/>
      <c r="H120" s="1083"/>
      <c r="I120" s="1083"/>
      <c r="J120" s="867"/>
      <c r="K120" s="77"/>
    </row>
    <row r="121" spans="1:12" ht="16.5" customHeight="1" thickBot="1" x14ac:dyDescent="0.3">
      <c r="A121" s="1079"/>
      <c r="B121" s="1079"/>
      <c r="C121" s="1079"/>
      <c r="D121" s="1079"/>
      <c r="E121" s="77"/>
      <c r="F121" s="1655" t="s">
        <v>7</v>
      </c>
      <c r="G121" s="1656"/>
      <c r="H121" s="77"/>
      <c r="I121" s="77"/>
      <c r="J121" s="77"/>
      <c r="K121" s="77"/>
    </row>
    <row r="122" spans="1:12" ht="16.5" customHeight="1" x14ac:dyDescent="0.25">
      <c r="A122" s="805"/>
      <c r="B122" s="805"/>
      <c r="C122" s="868" t="e">
        <f>'VERIFICACIÓN DE LA ESCALA°'!C56</f>
        <v>#N/A</v>
      </c>
      <c r="D122" s="1128" t="s">
        <v>4</v>
      </c>
      <c r="E122" s="1678" t="s">
        <v>411</v>
      </c>
      <c r="F122" s="869" t="e">
        <f>'VERIFICACIÓN DE LA ESCALA°'!F56</f>
        <v>#N/A</v>
      </c>
      <c r="G122" s="1128" t="s">
        <v>4</v>
      </c>
      <c r="H122" s="77"/>
      <c r="I122" s="77"/>
      <c r="K122" s="77"/>
    </row>
    <row r="123" spans="1:12" ht="15" customHeight="1" x14ac:dyDescent="0.25">
      <c r="A123" s="1079"/>
      <c r="B123" s="77"/>
      <c r="C123" s="870" t="e">
        <f>'VERIFICACIÓN DE LA ESCALA°'!C57</f>
        <v>#N/A</v>
      </c>
      <c r="D123" s="1129" t="s">
        <v>410</v>
      </c>
      <c r="E123" s="1679"/>
      <c r="F123" s="871" t="e">
        <f>'VERIFICACIÓN DE LA ESCALA°'!F57</f>
        <v>#N/A</v>
      </c>
      <c r="G123" s="1129" t="s">
        <v>410</v>
      </c>
      <c r="H123" s="77"/>
      <c r="I123" s="77"/>
      <c r="K123" s="77"/>
    </row>
    <row r="124" spans="1:12" ht="15" customHeight="1" thickBot="1" x14ac:dyDescent="0.3">
      <c r="A124" s="1079"/>
      <c r="B124" s="77"/>
      <c r="C124" s="872" t="e">
        <f>'VERIFICACIÓN DE LA ESCALA°'!C58</f>
        <v>#N/A</v>
      </c>
      <c r="D124" s="1130" t="s">
        <v>336</v>
      </c>
      <c r="E124" s="1680"/>
      <c r="F124" s="873" t="e">
        <f>'VERIFICACIÓN DE LA ESCALA°'!F58</f>
        <v>#N/A</v>
      </c>
      <c r="G124" s="1127" t="s">
        <v>336</v>
      </c>
      <c r="H124" s="77"/>
      <c r="I124" s="77"/>
      <c r="K124" s="77"/>
    </row>
    <row r="125" spans="1:12" ht="15" customHeight="1" x14ac:dyDescent="0.25">
      <c r="A125" s="1079"/>
      <c r="B125" s="77"/>
      <c r="C125" s="77"/>
      <c r="D125" s="77"/>
      <c r="E125" s="77"/>
      <c r="F125" s="77"/>
      <c r="G125" s="77"/>
      <c r="H125" s="77"/>
      <c r="I125" s="77"/>
      <c r="J125" s="77"/>
      <c r="K125" s="77"/>
    </row>
    <row r="126" spans="1:12" ht="120" customHeight="1" x14ac:dyDescent="0.25">
      <c r="A126" s="1079"/>
      <c r="B126" s="77"/>
      <c r="C126" s="77"/>
      <c r="D126" s="77"/>
      <c r="E126" s="77"/>
      <c r="F126" s="77"/>
      <c r="G126" s="77"/>
      <c r="H126" s="77"/>
      <c r="I126" s="77"/>
      <c r="J126" s="77"/>
      <c r="K126" s="77"/>
    </row>
    <row r="127" spans="1:12" ht="15" customHeight="1" x14ac:dyDescent="0.25">
      <c r="A127" s="1079"/>
      <c r="B127" s="77"/>
      <c r="C127" s="77"/>
      <c r="D127" s="77"/>
      <c r="E127" s="77"/>
      <c r="F127" s="77"/>
      <c r="G127" s="77"/>
      <c r="H127" s="795" t="s">
        <v>373</v>
      </c>
      <c r="I127" s="1762">
        <f>I7</f>
        <v>0</v>
      </c>
      <c r="J127" s="1762"/>
      <c r="K127" s="1087"/>
    </row>
    <row r="128" spans="1:12" ht="12" customHeight="1" x14ac:dyDescent="0.25">
      <c r="A128" s="1717" t="s">
        <v>449</v>
      </c>
      <c r="B128" s="1717"/>
      <c r="C128" s="1717"/>
      <c r="D128" s="1717"/>
      <c r="E128" s="1717"/>
      <c r="F128" s="1717"/>
      <c r="G128" s="78"/>
      <c r="H128" s="77"/>
      <c r="I128" s="77"/>
      <c r="J128" s="77"/>
      <c r="K128" s="77"/>
      <c r="L128" s="77"/>
    </row>
    <row r="129" spans="1:12" ht="12" customHeight="1" x14ac:dyDescent="0.25">
      <c r="A129" s="1093"/>
      <c r="B129" s="1093"/>
      <c r="C129" s="1093"/>
      <c r="D129" s="1093"/>
      <c r="E129" s="1093"/>
      <c r="F129" s="1093"/>
      <c r="G129" s="78"/>
      <c r="H129" s="77"/>
      <c r="I129" s="77"/>
      <c r="J129" s="77"/>
      <c r="K129" s="77"/>
      <c r="L129" s="77"/>
    </row>
    <row r="130" spans="1:12" s="320" customFormat="1" ht="35.25" customHeight="1" x14ac:dyDescent="0.25">
      <c r="A130" s="1758" t="s">
        <v>554</v>
      </c>
      <c r="B130" s="1758"/>
      <c r="C130" s="1758"/>
      <c r="D130" s="1758"/>
      <c r="E130" s="1758"/>
      <c r="F130" s="1758"/>
      <c r="G130" s="1758"/>
      <c r="H130" s="1758"/>
      <c r="I130" s="1758"/>
      <c r="J130" s="1758"/>
      <c r="K130" s="1758"/>
      <c r="L130" s="313"/>
    </row>
    <row r="131" spans="1:12" ht="9.9499999999999993" customHeight="1" x14ac:dyDescent="0.25">
      <c r="A131" s="1083"/>
      <c r="B131" s="1083"/>
      <c r="C131" s="1083"/>
      <c r="D131" s="1079"/>
      <c r="E131" s="1079"/>
      <c r="F131" s="1079"/>
      <c r="G131" s="1079"/>
      <c r="H131" s="77"/>
      <c r="I131" s="77"/>
      <c r="J131" s="1090"/>
      <c r="K131" s="77"/>
      <c r="L131" s="77"/>
    </row>
    <row r="132" spans="1:12" s="320" customFormat="1" ht="35.25" customHeight="1" x14ac:dyDescent="0.25">
      <c r="A132" s="1758" t="s">
        <v>551</v>
      </c>
      <c r="B132" s="1758"/>
      <c r="C132" s="1758"/>
      <c r="D132" s="1758"/>
      <c r="E132" s="1758"/>
      <c r="F132" s="1758"/>
      <c r="G132" s="1758"/>
      <c r="H132" s="1758"/>
      <c r="I132" s="1758"/>
      <c r="J132" s="1758"/>
      <c r="K132" s="1758"/>
      <c r="L132" s="313"/>
    </row>
    <row r="133" spans="1:12" s="1027" customFormat="1" ht="9.9499999999999993" customHeight="1" x14ac:dyDescent="0.25">
      <c r="A133" s="1077"/>
      <c r="B133" s="1077"/>
      <c r="C133" s="1077"/>
      <c r="D133" s="1077"/>
      <c r="E133" s="1077"/>
      <c r="F133" s="1077"/>
      <c r="G133" s="1077"/>
      <c r="H133" s="1077"/>
      <c r="I133" s="1077"/>
      <c r="J133" s="1077"/>
      <c r="K133" s="1077"/>
      <c r="L133" s="326"/>
    </row>
    <row r="134" spans="1:12" s="320" customFormat="1" ht="35.25" customHeight="1" x14ac:dyDescent="0.25">
      <c r="A134" s="1758" t="s">
        <v>543</v>
      </c>
      <c r="B134" s="1758"/>
      <c r="C134" s="1758"/>
      <c r="D134" s="1758"/>
      <c r="E134" s="1758"/>
      <c r="F134" s="1758"/>
      <c r="G134" s="1758"/>
      <c r="H134" s="1758"/>
      <c r="I134" s="1758"/>
      <c r="J134" s="1758"/>
      <c r="K134" s="1758"/>
      <c r="L134" s="313"/>
    </row>
    <row r="135" spans="1:12" s="320" customFormat="1" ht="9.9499999999999993" customHeight="1" x14ac:dyDescent="0.25">
      <c r="A135" s="1077"/>
      <c r="B135" s="1077"/>
      <c r="C135" s="1077"/>
      <c r="D135" s="1028"/>
      <c r="E135" s="1028"/>
      <c r="F135" s="1028"/>
      <c r="G135" s="1028"/>
      <c r="H135" s="1078"/>
      <c r="I135" s="1078"/>
      <c r="J135" s="1029"/>
      <c r="K135" s="1078"/>
      <c r="L135" s="313"/>
    </row>
    <row r="136" spans="1:12" s="1031" customFormat="1" ht="16.5" customHeight="1" x14ac:dyDescent="0.25">
      <c r="A136" s="1756" t="s">
        <v>544</v>
      </c>
      <c r="B136" s="1756"/>
      <c r="C136" s="1756"/>
      <c r="D136" s="1756"/>
      <c r="E136" s="1756"/>
      <c r="F136" s="1756"/>
      <c r="G136" s="1756"/>
      <c r="H136" s="1756"/>
      <c r="I136" s="1756"/>
      <c r="J136" s="1756"/>
      <c r="K136" s="1756"/>
      <c r="L136" s="1030"/>
    </row>
    <row r="137" spans="1:12" s="1031" customFormat="1" ht="9.9499999999999993" customHeight="1" x14ac:dyDescent="0.25">
      <c r="A137" s="1032"/>
      <c r="B137" s="1032"/>
      <c r="C137" s="1032"/>
      <c r="D137" s="1032"/>
      <c r="E137" s="1032"/>
      <c r="F137" s="1032"/>
      <c r="G137" s="1032"/>
      <c r="H137" s="1032"/>
      <c r="I137" s="1032"/>
      <c r="J137" s="1032"/>
      <c r="K137" s="1033"/>
      <c r="L137" s="1030"/>
    </row>
    <row r="138" spans="1:12" s="1031" customFormat="1" ht="15" customHeight="1" x14ac:dyDescent="0.25">
      <c r="A138" s="1756" t="s">
        <v>582</v>
      </c>
      <c r="B138" s="1756"/>
      <c r="C138" s="1756"/>
      <c r="D138" s="1756"/>
      <c r="E138" s="1756"/>
      <c r="F138" s="1756"/>
      <c r="G138" s="1756"/>
      <c r="H138" s="1756"/>
      <c r="I138" s="1756"/>
      <c r="J138" s="1756"/>
      <c r="K138" s="1756"/>
      <c r="L138" s="1030"/>
    </row>
    <row r="139" spans="1:12" s="1031" customFormat="1" ht="15" customHeight="1" x14ac:dyDescent="0.25">
      <c r="A139" s="1759" t="s">
        <v>542</v>
      </c>
      <c r="B139" s="1759"/>
      <c r="C139" s="1760">
        <f>'VERIFICACIÓN DE LA ESCALA°'!I55</f>
        <v>0</v>
      </c>
      <c r="D139" s="1761"/>
      <c r="E139" s="1761"/>
      <c r="F139" s="1761"/>
      <c r="G139" s="1032"/>
      <c r="H139" s="1032"/>
      <c r="I139" s="1032"/>
      <c r="J139" s="1032"/>
      <c r="K139" s="1032"/>
      <c r="L139" s="1034"/>
    </row>
    <row r="140" spans="1:12" s="1031" customFormat="1" ht="9.9499999999999993" customHeight="1" x14ac:dyDescent="0.25">
      <c r="A140" s="1032"/>
      <c r="B140" s="1078"/>
      <c r="C140" s="1032"/>
      <c r="D140" s="1078"/>
      <c r="E140" s="1032"/>
      <c r="F140" s="1078"/>
      <c r="G140" s="1032"/>
      <c r="H140" s="1032"/>
      <c r="I140" s="1032"/>
      <c r="J140" s="1078"/>
      <c r="K140" s="1078"/>
      <c r="L140" s="1030"/>
    </row>
    <row r="141" spans="1:12" s="1031" customFormat="1" ht="15" customHeight="1" x14ac:dyDescent="0.25">
      <c r="A141" s="1756" t="s">
        <v>545</v>
      </c>
      <c r="B141" s="1756"/>
      <c r="C141" s="1756"/>
      <c r="D141" s="1756"/>
      <c r="E141" s="1756"/>
      <c r="F141" s="1756"/>
      <c r="G141" s="1756"/>
      <c r="H141" s="1756"/>
      <c r="I141" s="1756"/>
      <c r="J141" s="1756"/>
      <c r="K141" s="1756"/>
      <c r="L141" s="1030"/>
    </row>
    <row r="142" spans="1:12" s="320" customFormat="1" ht="9.9499999999999993" customHeight="1" x14ac:dyDescent="0.25">
      <c r="A142" s="1076"/>
      <c r="B142" s="1076"/>
      <c r="C142" s="1076"/>
      <c r="D142" s="1076"/>
      <c r="E142" s="1076"/>
      <c r="F142" s="1076"/>
      <c r="G142" s="1076"/>
      <c r="H142" s="1076"/>
      <c r="I142" s="1076"/>
      <c r="J142" s="1076"/>
      <c r="K142" s="1076"/>
      <c r="L142" s="313"/>
    </row>
    <row r="143" spans="1:12" s="320" customFormat="1" ht="15" customHeight="1" x14ac:dyDescent="0.25">
      <c r="A143" s="1756" t="s">
        <v>546</v>
      </c>
      <c r="B143" s="1756"/>
      <c r="C143" s="1756"/>
      <c r="D143" s="1756"/>
      <c r="E143" s="1756"/>
      <c r="F143" s="1756"/>
      <c r="G143" s="1756"/>
      <c r="H143" s="1756"/>
      <c r="I143" s="1756"/>
      <c r="J143" s="1756"/>
      <c r="K143" s="1076"/>
      <c r="L143" s="313"/>
    </row>
    <row r="144" spans="1:12" s="320" customFormat="1" ht="9.9499999999999993" customHeight="1" x14ac:dyDescent="0.25">
      <c r="A144" s="1076"/>
      <c r="B144" s="1076"/>
      <c r="C144" s="1076"/>
      <c r="D144" s="1076"/>
      <c r="E144" s="1076"/>
      <c r="F144" s="1076"/>
      <c r="G144" s="1076"/>
      <c r="H144" s="1076"/>
      <c r="I144" s="1076"/>
      <c r="J144" s="1076"/>
      <c r="K144" s="1076"/>
      <c r="L144" s="313"/>
    </row>
    <row r="145" spans="1:13" s="320" customFormat="1" ht="35.1" customHeight="1" x14ac:dyDescent="0.25">
      <c r="A145" s="1756" t="s">
        <v>553</v>
      </c>
      <c r="B145" s="1756"/>
      <c r="C145" s="1756"/>
      <c r="D145" s="1756"/>
      <c r="E145" s="1756"/>
      <c r="F145" s="1756"/>
      <c r="G145" s="1756"/>
      <c r="H145" s="1756"/>
      <c r="I145" s="1756"/>
      <c r="J145" s="1756"/>
      <c r="K145" s="1756"/>
      <c r="L145" s="313"/>
    </row>
    <row r="146" spans="1:13" s="320" customFormat="1" ht="9.9499999999999993" customHeight="1" x14ac:dyDescent="0.25">
      <c r="A146" s="1076"/>
      <c r="B146" s="1076"/>
      <c r="C146" s="1076"/>
      <c r="D146" s="1076"/>
      <c r="E146" s="1076"/>
      <c r="F146" s="1076"/>
      <c r="G146" s="1076"/>
      <c r="H146" s="1076"/>
      <c r="I146" s="1076"/>
      <c r="J146" s="1076"/>
      <c r="K146" s="1076"/>
      <c r="L146" s="313"/>
    </row>
    <row r="147" spans="1:13" s="1031" customFormat="1" ht="15" customHeight="1" x14ac:dyDescent="0.25">
      <c r="A147" s="1756" t="s">
        <v>547</v>
      </c>
      <c r="B147" s="1756"/>
      <c r="C147" s="1756"/>
      <c r="D147" s="1756"/>
      <c r="E147" s="1756"/>
      <c r="F147" s="1756"/>
      <c r="G147" s="1756"/>
      <c r="H147" s="1756"/>
      <c r="I147" s="1756"/>
      <c r="J147" s="1756"/>
      <c r="K147" s="1756"/>
      <c r="L147" s="1035"/>
      <c r="M147" s="1036"/>
    </row>
    <row r="148" spans="1:13" s="320" customFormat="1" ht="9.9499999999999993" customHeight="1" x14ac:dyDescent="0.25">
      <c r="A148" s="1076"/>
      <c r="B148" s="1076"/>
      <c r="C148" s="1076"/>
      <c r="D148" s="1076"/>
      <c r="E148" s="1076"/>
      <c r="F148" s="1076"/>
      <c r="G148" s="1076"/>
      <c r="H148" s="1076"/>
      <c r="I148" s="1076"/>
      <c r="J148" s="1076"/>
      <c r="K148" s="1076"/>
      <c r="L148" s="1037"/>
      <c r="M148" s="1038"/>
    </row>
    <row r="149" spans="1:13" s="320" customFormat="1" ht="30.75" customHeight="1" x14ac:dyDescent="0.25">
      <c r="A149" s="1756" t="s">
        <v>580</v>
      </c>
      <c r="B149" s="1756"/>
      <c r="C149" s="1756"/>
      <c r="D149" s="1756"/>
      <c r="E149" s="1756"/>
      <c r="F149" s="1756"/>
      <c r="G149" s="1756"/>
      <c r="H149" s="1756"/>
      <c r="I149" s="1756"/>
      <c r="J149" s="1756"/>
      <c r="K149" s="1756"/>
      <c r="L149" s="1039"/>
      <c r="M149" s="1038"/>
    </row>
    <row r="150" spans="1:13" s="320" customFormat="1" ht="18" customHeight="1" x14ac:dyDescent="0.25">
      <c r="A150" s="1756" t="s">
        <v>583</v>
      </c>
      <c r="B150" s="1756"/>
      <c r="C150" s="1756"/>
      <c r="D150" s="1756"/>
      <c r="E150" s="1756"/>
      <c r="F150" s="1756"/>
      <c r="G150" s="1756"/>
      <c r="H150" s="1756"/>
      <c r="I150" s="1756"/>
      <c r="J150" s="1756"/>
      <c r="K150" s="1756"/>
      <c r="L150" s="1039"/>
      <c r="M150" s="1040"/>
    </row>
    <row r="151" spans="1:13" s="320" customFormat="1" ht="9.9499999999999993" customHeight="1" x14ac:dyDescent="0.25">
      <c r="A151" s="1756"/>
      <c r="B151" s="1756"/>
      <c r="C151" s="1756"/>
      <c r="D151" s="1756"/>
      <c r="E151" s="1756"/>
      <c r="F151" s="1756"/>
      <c r="G151" s="1756"/>
      <c r="H151" s="1756"/>
      <c r="I151" s="1756"/>
      <c r="J151" s="1076"/>
      <c r="K151" s="1076"/>
      <c r="L151" s="1041"/>
      <c r="M151" s="1040"/>
    </row>
    <row r="152" spans="1:13" s="320" customFormat="1" ht="15" customHeight="1" x14ac:dyDescent="0.25">
      <c r="A152" s="1756" t="s">
        <v>548</v>
      </c>
      <c r="B152" s="1756"/>
      <c r="C152" s="1756"/>
      <c r="D152" s="1756"/>
      <c r="E152" s="1756"/>
      <c r="F152" s="1756"/>
      <c r="G152" s="1756"/>
      <c r="H152" s="1756"/>
      <c r="I152" s="1756"/>
      <c r="J152" s="1756"/>
      <c r="K152" s="1756"/>
      <c r="L152" s="1042"/>
      <c r="M152" s="1043"/>
    </row>
    <row r="153" spans="1:13" s="320" customFormat="1" ht="9.9499999999999993" customHeight="1" x14ac:dyDescent="0.25">
      <c r="A153" s="1044"/>
      <c r="B153" s="1044"/>
      <c r="C153" s="1044"/>
      <c r="D153" s="1044"/>
      <c r="E153" s="1044"/>
      <c r="F153" s="1044"/>
      <c r="G153" s="1044"/>
      <c r="H153" s="1044"/>
      <c r="I153" s="1044"/>
      <c r="J153" s="1044"/>
      <c r="K153" s="1076"/>
      <c r="L153" s="313"/>
    </row>
    <row r="154" spans="1:13" s="320" customFormat="1" ht="32.25" customHeight="1" x14ac:dyDescent="0.25">
      <c r="A154" s="1756" t="s">
        <v>549</v>
      </c>
      <c r="B154" s="1756"/>
      <c r="C154" s="1756"/>
      <c r="D154" s="1756"/>
      <c r="E154" s="1756"/>
      <c r="F154" s="1756"/>
      <c r="G154" s="1756"/>
      <c r="H154" s="1756"/>
      <c r="I154" s="1756"/>
      <c r="J154" s="1756"/>
      <c r="K154" s="1756"/>
      <c r="L154" s="313"/>
    </row>
    <row r="155" spans="1:13" s="320" customFormat="1" ht="9.9499999999999993" customHeight="1" x14ac:dyDescent="0.25">
      <c r="A155" s="1076"/>
      <c r="B155" s="1076"/>
      <c r="C155" s="1076"/>
      <c r="D155" s="1076"/>
      <c r="E155" s="1076"/>
      <c r="F155" s="1076"/>
      <c r="G155" s="1076"/>
      <c r="H155" s="1076"/>
      <c r="I155" s="1076"/>
      <c r="J155" s="1076"/>
      <c r="K155" s="1076"/>
      <c r="L155" s="313"/>
    </row>
    <row r="156" spans="1:13" s="320" customFormat="1" ht="15.75" customHeight="1" x14ac:dyDescent="0.25">
      <c r="A156" s="1756" t="s">
        <v>584</v>
      </c>
      <c r="B156" s="1756"/>
      <c r="C156" s="1756"/>
      <c r="D156" s="1756"/>
      <c r="E156" s="1756"/>
      <c r="F156" s="1756"/>
      <c r="G156" s="1756"/>
      <c r="H156" s="1756"/>
      <c r="I156" s="1756"/>
      <c r="J156" s="1756"/>
      <c r="K156" s="1756"/>
      <c r="L156" s="313"/>
    </row>
    <row r="157" spans="1:13" s="320" customFormat="1" ht="9.9499999999999993" customHeight="1" x14ac:dyDescent="0.25">
      <c r="A157" s="1076"/>
      <c r="B157" s="1076"/>
      <c r="C157" s="1076"/>
      <c r="D157" s="1076"/>
      <c r="E157" s="1076"/>
      <c r="F157" s="1076"/>
      <c r="G157" s="1076"/>
      <c r="H157" s="1076"/>
      <c r="I157" s="1076"/>
      <c r="J157" s="1076"/>
      <c r="K157" s="1076"/>
      <c r="L157" s="313"/>
    </row>
    <row r="158" spans="1:13" s="320" customFormat="1" ht="15" customHeight="1" x14ac:dyDescent="0.25">
      <c r="A158" s="1756" t="s">
        <v>552</v>
      </c>
      <c r="B158" s="1756"/>
      <c r="C158" s="1756"/>
      <c r="D158" s="1756"/>
      <c r="E158" s="1756"/>
      <c r="F158" s="1756"/>
      <c r="G158" s="1756"/>
      <c r="H158" s="1756"/>
      <c r="I158" s="1756"/>
      <c r="J158" s="1756"/>
      <c r="K158" s="1756"/>
      <c r="L158" s="313"/>
    </row>
    <row r="159" spans="1:13" s="320" customFormat="1" ht="9.9499999999999993" customHeight="1" x14ac:dyDescent="0.25">
      <c r="A159" s="1757"/>
      <c r="B159" s="1757"/>
      <c r="C159" s="1757"/>
      <c r="D159" s="1757"/>
      <c r="E159" s="1757"/>
      <c r="F159" s="1757"/>
      <c r="G159" s="1756"/>
      <c r="H159" s="1076"/>
      <c r="I159" s="1076"/>
      <c r="J159" s="1076"/>
      <c r="K159" s="1076"/>
      <c r="L159" s="313"/>
    </row>
    <row r="160" spans="1:13" s="320" customFormat="1" ht="15" customHeight="1" x14ac:dyDescent="0.25">
      <c r="A160" s="1756" t="s">
        <v>550</v>
      </c>
      <c r="B160" s="1756"/>
      <c r="C160" s="1756"/>
      <c r="D160" s="1756"/>
      <c r="E160" s="1756"/>
      <c r="F160" s="1756"/>
      <c r="G160" s="1756"/>
      <c r="H160" s="1756"/>
      <c r="I160" s="1756"/>
      <c r="J160" s="1756"/>
      <c r="K160" s="1076"/>
      <c r="L160" s="313"/>
    </row>
    <row r="161" spans="1:12" ht="9.9499999999999993" customHeight="1" x14ac:dyDescent="0.25">
      <c r="A161" s="1085"/>
      <c r="B161" s="1085"/>
      <c r="C161" s="1085"/>
      <c r="D161" s="1085"/>
      <c r="E161" s="1085"/>
      <c r="F161" s="1085"/>
      <c r="G161" s="1085"/>
      <c r="H161" s="1085"/>
      <c r="I161" s="1085"/>
      <c r="J161" s="1085"/>
      <c r="K161" s="77"/>
      <c r="L161" s="77"/>
    </row>
    <row r="162" spans="1:12" ht="15" customHeight="1" x14ac:dyDescent="0.25">
      <c r="A162" s="1709" t="s">
        <v>35</v>
      </c>
      <c r="B162" s="1709"/>
      <c r="C162" s="1709"/>
      <c r="D162" s="1709"/>
      <c r="E162" s="77"/>
      <c r="F162" s="77"/>
      <c r="G162" s="77"/>
      <c r="H162" s="77"/>
      <c r="I162" s="77"/>
      <c r="J162" s="77"/>
      <c r="K162" s="77"/>
      <c r="L162" s="77"/>
    </row>
    <row r="163" spans="1:12" ht="15" customHeight="1" x14ac:dyDescent="0.25">
      <c r="A163" s="77"/>
      <c r="B163" s="77"/>
      <c r="C163" s="77"/>
      <c r="D163" s="77"/>
      <c r="E163" s="77"/>
      <c r="F163" s="77"/>
      <c r="G163" s="77"/>
      <c r="H163" s="77"/>
      <c r="I163" s="77"/>
      <c r="J163" s="77"/>
      <c r="K163" s="77"/>
      <c r="L163" s="77"/>
    </row>
    <row r="164" spans="1:12" ht="15" customHeight="1" x14ac:dyDescent="0.25">
      <c r="A164" s="77"/>
      <c r="B164" s="77"/>
      <c r="C164" s="77"/>
      <c r="D164" s="77"/>
      <c r="E164" s="77"/>
      <c r="F164" s="77"/>
      <c r="G164" s="77"/>
      <c r="H164" s="77"/>
      <c r="I164" s="77"/>
      <c r="J164" s="77"/>
      <c r="K164" s="77"/>
      <c r="L164" s="77"/>
    </row>
    <row r="165" spans="1:12" ht="15" customHeight="1" x14ac:dyDescent="0.25">
      <c r="A165" s="874"/>
      <c r="B165" s="875" t="s">
        <v>36</v>
      </c>
      <c r="C165" s="875"/>
      <c r="D165" s="875"/>
      <c r="E165" s="875"/>
      <c r="F165" s="77"/>
      <c r="G165" s="1727" t="s">
        <v>36</v>
      </c>
      <c r="H165" s="1727"/>
      <c r="I165" s="1727"/>
      <c r="J165" s="77"/>
      <c r="K165" s="874"/>
      <c r="L165" s="77"/>
    </row>
    <row r="166" spans="1:12" ht="15" customHeight="1" x14ac:dyDescent="0.25">
      <c r="A166" s="77"/>
      <c r="B166" s="1727" t="s">
        <v>37</v>
      </c>
      <c r="C166" s="1727"/>
      <c r="D166" s="1727"/>
      <c r="E166" s="1727"/>
      <c r="F166" s="77"/>
      <c r="G166" s="1727" t="s">
        <v>38</v>
      </c>
      <c r="H166" s="1727"/>
      <c r="I166" s="1727"/>
      <c r="J166" s="77"/>
      <c r="K166" s="77"/>
      <c r="L166" s="77"/>
    </row>
    <row r="167" spans="1:12" ht="15" customHeight="1" x14ac:dyDescent="0.25">
      <c r="A167" s="77"/>
      <c r="B167" s="1728" t="e">
        <f>VLOOKUP(A165,DATOS°!P9:S13,4,FALSE)</f>
        <v>#N/A</v>
      </c>
      <c r="C167" s="1728"/>
      <c r="D167" s="1728"/>
      <c r="E167" s="1728"/>
      <c r="F167" s="1708" t="e">
        <f>VLOOKUP(K165,DATOS°!P9:U13,6,FALSE)</f>
        <v>#N/A</v>
      </c>
      <c r="G167" s="1708"/>
      <c r="H167" s="1708"/>
      <c r="I167" s="1708"/>
      <c r="J167" s="1708"/>
      <c r="K167" s="1708"/>
      <c r="L167" s="77"/>
    </row>
    <row r="168" spans="1:12" ht="15" customHeight="1" x14ac:dyDescent="0.25">
      <c r="A168" s="77"/>
      <c r="B168" s="1709" t="e">
        <f>VLOOKUP(A165,DATOS°!P9:S13,2,FALSE)</f>
        <v>#N/A</v>
      </c>
      <c r="C168" s="1709"/>
      <c r="D168" s="1709"/>
      <c r="E168" s="1709"/>
      <c r="F168" s="1709" t="e">
        <f>VLOOKUP(K165,DATOS°!P9:U13,2,FALSE)</f>
        <v>#N/A</v>
      </c>
      <c r="G168" s="1709"/>
      <c r="H168" s="1709"/>
      <c r="I168" s="1709"/>
      <c r="J168" s="1709"/>
      <c r="K168" s="1709"/>
      <c r="L168" s="77"/>
    </row>
    <row r="169" spans="1:12" ht="15" customHeight="1" x14ac:dyDescent="0.25">
      <c r="A169" s="77"/>
      <c r="B169" s="77"/>
      <c r="C169" s="77"/>
      <c r="D169" s="77"/>
      <c r="E169" s="77"/>
      <c r="F169" s="77"/>
      <c r="G169" s="77"/>
      <c r="H169" s="77"/>
      <c r="I169" s="77"/>
      <c r="J169" s="77"/>
      <c r="K169" s="77"/>
      <c r="L169" s="77"/>
    </row>
    <row r="170" spans="1:12" ht="15" customHeight="1" x14ac:dyDescent="0.25">
      <c r="A170" s="77"/>
      <c r="B170" s="1705" t="s">
        <v>39</v>
      </c>
      <c r="C170" s="1705"/>
      <c r="D170" s="1705"/>
      <c r="E170" s="1755"/>
      <c r="F170" s="1755"/>
      <c r="G170" s="77"/>
      <c r="H170" s="77"/>
      <c r="I170" s="77"/>
      <c r="J170" s="77"/>
      <c r="K170" s="77"/>
      <c r="L170" s="77"/>
    </row>
    <row r="171" spans="1:12" ht="15" customHeight="1" x14ac:dyDescent="0.25">
      <c r="A171" s="77"/>
      <c r="B171" s="1559" t="s">
        <v>274</v>
      </c>
      <c r="C171" s="1559"/>
      <c r="D171" s="1559"/>
      <c r="E171" s="1559"/>
      <c r="F171" s="1559"/>
      <c r="G171" s="1559"/>
      <c r="H171" s="1559"/>
      <c r="I171" s="1559"/>
      <c r="J171" s="77"/>
      <c r="K171" s="77"/>
      <c r="L171" s="77"/>
    </row>
  </sheetData>
  <sheetProtection algorithmName="SHA-512" hashValue="Jo8ZEp2ro5gO0VU3DxBnjI++ctctDeUM4UfEkjJuyh+zZcNYIi75NiMlPa1fmTTu8ryVlPNktXxzMOpxKrvbmA==" saltValue="dY4hVk2mLru9T4SQJHbxyQ==" spinCount="100000" sheet="1" objects="1" scenarios="1"/>
  <mergeCells count="150">
    <mergeCell ref="A12:B12"/>
    <mergeCell ref="D12:K12"/>
    <mergeCell ref="A14:C14"/>
    <mergeCell ref="D14:E14"/>
    <mergeCell ref="F14:G14"/>
    <mergeCell ref="H14:J14"/>
    <mergeCell ref="A2:K6"/>
    <mergeCell ref="I7:J7"/>
    <mergeCell ref="A8:D8"/>
    <mergeCell ref="A10:B10"/>
    <mergeCell ref="D10:K10"/>
    <mergeCell ref="A11:B11"/>
    <mergeCell ref="D11:K11"/>
    <mergeCell ref="A20:D20"/>
    <mergeCell ref="E20:H20"/>
    <mergeCell ref="A21:D21"/>
    <mergeCell ref="E21:H21"/>
    <mergeCell ref="A22:D22"/>
    <mergeCell ref="E22:H22"/>
    <mergeCell ref="A15:B15"/>
    <mergeCell ref="D15:F15"/>
    <mergeCell ref="A16:J16"/>
    <mergeCell ref="A18:D18"/>
    <mergeCell ref="E18:H18"/>
    <mergeCell ref="A19:D19"/>
    <mergeCell ref="E19:H19"/>
    <mergeCell ref="T27:V27"/>
    <mergeCell ref="X27:Z27"/>
    <mergeCell ref="A28:D28"/>
    <mergeCell ref="E28:H28"/>
    <mergeCell ref="A23:D23"/>
    <mergeCell ref="E23:H23"/>
    <mergeCell ref="A24:D24"/>
    <mergeCell ref="E24:H24"/>
    <mergeCell ref="A25:D25"/>
    <mergeCell ref="T25:X25"/>
    <mergeCell ref="A29:K29"/>
    <mergeCell ref="A31:K31"/>
    <mergeCell ref="A32:K32"/>
    <mergeCell ref="A34:D34"/>
    <mergeCell ref="E34:F34"/>
    <mergeCell ref="A36:H36"/>
    <mergeCell ref="A26:D26"/>
    <mergeCell ref="A27:D27"/>
    <mergeCell ref="E27:H27"/>
    <mergeCell ref="C56:K56"/>
    <mergeCell ref="C58:K58"/>
    <mergeCell ref="C59:J59"/>
    <mergeCell ref="C60:K60"/>
    <mergeCell ref="C61:J61"/>
    <mergeCell ref="C62:K62"/>
    <mergeCell ref="A38:K39"/>
    <mergeCell ref="I46:J46"/>
    <mergeCell ref="A47:B47"/>
    <mergeCell ref="C49:K49"/>
    <mergeCell ref="C51:K52"/>
    <mergeCell ref="C54:K54"/>
    <mergeCell ref="C69:J69"/>
    <mergeCell ref="C70:H70"/>
    <mergeCell ref="C72:H72"/>
    <mergeCell ref="A75:E75"/>
    <mergeCell ref="A77:K77"/>
    <mergeCell ref="B79:C79"/>
    <mergeCell ref="D79:F79"/>
    <mergeCell ref="G79:I79"/>
    <mergeCell ref="C63:J63"/>
    <mergeCell ref="C64:K64"/>
    <mergeCell ref="C65:J65"/>
    <mergeCell ref="C66:K66"/>
    <mergeCell ref="C67:J67"/>
    <mergeCell ref="C68:J68"/>
    <mergeCell ref="A89:E89"/>
    <mergeCell ref="A91:K91"/>
    <mergeCell ref="A93:C93"/>
    <mergeCell ref="E93:F93"/>
    <mergeCell ref="G93:H93"/>
    <mergeCell ref="I93:J93"/>
    <mergeCell ref="B80:C80"/>
    <mergeCell ref="D80:F80"/>
    <mergeCell ref="G80:I80"/>
    <mergeCell ref="A82:E82"/>
    <mergeCell ref="A84:K85"/>
    <mergeCell ref="I88:J88"/>
    <mergeCell ref="A96:C96"/>
    <mergeCell ref="E96:F96"/>
    <mergeCell ref="G96:H96"/>
    <mergeCell ref="I96:J96"/>
    <mergeCell ref="A97:C97"/>
    <mergeCell ref="E97:F97"/>
    <mergeCell ref="G97:H97"/>
    <mergeCell ref="I97:J97"/>
    <mergeCell ref="A94:C94"/>
    <mergeCell ref="E94:F94"/>
    <mergeCell ref="G94:H94"/>
    <mergeCell ref="I94:J94"/>
    <mergeCell ref="A95:C95"/>
    <mergeCell ref="E95:F95"/>
    <mergeCell ref="G95:H95"/>
    <mergeCell ref="I95:J95"/>
    <mergeCell ref="C104:D104"/>
    <mergeCell ref="C105:D105"/>
    <mergeCell ref="C106:D106"/>
    <mergeCell ref="F109:G109"/>
    <mergeCell ref="C113:D113"/>
    <mergeCell ref="A115:E115"/>
    <mergeCell ref="A99:K99"/>
    <mergeCell ref="A101:I101"/>
    <mergeCell ref="A102:B102"/>
    <mergeCell ref="C102:E102"/>
    <mergeCell ref="F102:G102"/>
    <mergeCell ref="C103:D103"/>
    <mergeCell ref="A103:B106"/>
    <mergeCell ref="A110:B113"/>
    <mergeCell ref="A132:K132"/>
    <mergeCell ref="A134:K134"/>
    <mergeCell ref="A136:K136"/>
    <mergeCell ref="A138:K138"/>
    <mergeCell ref="A139:B139"/>
    <mergeCell ref="C139:F139"/>
    <mergeCell ref="A117:E117"/>
    <mergeCell ref="A119:I119"/>
    <mergeCell ref="E122:E124"/>
    <mergeCell ref="I127:J127"/>
    <mergeCell ref="A128:F128"/>
    <mergeCell ref="A130:K130"/>
    <mergeCell ref="F121:G121"/>
    <mergeCell ref="A151:I151"/>
    <mergeCell ref="A152:K152"/>
    <mergeCell ref="A154:K154"/>
    <mergeCell ref="A156:K156"/>
    <mergeCell ref="A158:K158"/>
    <mergeCell ref="A159:G159"/>
    <mergeCell ref="A141:K141"/>
    <mergeCell ref="A143:J143"/>
    <mergeCell ref="A145:K145"/>
    <mergeCell ref="A147:K147"/>
    <mergeCell ref="A149:K149"/>
    <mergeCell ref="A150:K150"/>
    <mergeCell ref="B168:E168"/>
    <mergeCell ref="F168:K168"/>
    <mergeCell ref="B170:D170"/>
    <mergeCell ref="E170:F170"/>
    <mergeCell ref="B171:I171"/>
    <mergeCell ref="A160:J160"/>
    <mergeCell ref="A162:D162"/>
    <mergeCell ref="G165:I165"/>
    <mergeCell ref="B166:E166"/>
    <mergeCell ref="G166:I166"/>
    <mergeCell ref="B167:E167"/>
    <mergeCell ref="F167:K167"/>
  </mergeCells>
  <printOptions horizontalCentered="1"/>
  <pageMargins left="0.23622047244094491" right="0.23622047244094491" top="0.74803149606299213" bottom="0.74803149606299213" header="0.31496062992125984" footer="0.31496062992125984"/>
  <pageSetup scale="75" orientation="portrait" r:id="rId1"/>
  <headerFooter>
    <oddHeader>&amp;C
MODIFICACIÓN AL 
&amp;"-,Negrita"CERTIFICADO DE CALIBRACIÓN DE RECIPIENTES VOLUMÉTRICOS</oddHeader>
    <oddFooter xml:space="preserve">&amp;RRT03-F14 Vr. 5(2019-10-08)
&amp;P de 4 </oddFooter>
  </headerFooter>
  <rowBreaks count="3" manualBreakCount="3">
    <brk id="44" max="10" man="1"/>
    <brk id="86" max="10" man="1"/>
    <brk id="125" max="10"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FC37B98-AAC5-46D6-AA91-A083A4A1073B}">
            <xm:f>NOT(ISERROR(SEARCH($F$110,F115)))</xm:f>
            <xm:f>$F$110</xm:f>
            <x14:dxf>
              <font>
                <b/>
                <i val="0"/>
              </font>
            </x14:dxf>
          </x14:cfRule>
          <x14:cfRule type="containsText" priority="2" stopIfTrue="1" operator="containsText" id="{7EF4BE87-CBFF-47DC-A8C2-FE7D28D0B1F1}">
            <xm:f>NOT(ISERROR(SEARCH($F$110,F115)))</xm:f>
            <xm:f>$F$110</xm:f>
            <x14:dxf>
              <font>
                <b/>
                <i val="0"/>
                <color auto="1"/>
              </font>
              <fill>
                <patternFill>
                  <bgColor rgb="FFFFC7CE"/>
                </patternFill>
              </fill>
            </x14:dxf>
          </x14:cfRule>
          <xm:sqref>F115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DATOS°!$C$112:$C$117</xm:f>
          </x14:formula1>
          <xm:sqref>K97</xm:sqref>
        </x14:dataValidation>
        <x14:dataValidation type="list" allowBlank="1" showInputMessage="1" showErrorMessage="1">
          <x14:formula1>
            <xm:f>DATOS°!$P$9:$P$13</xm:f>
          </x14:formula1>
          <xm:sqref>K165</xm:sqref>
        </x14:dataValidation>
        <x14:dataValidation type="list" allowBlank="1" showInputMessage="1" showErrorMessage="1">
          <x14:formula1>
            <xm:f>DATOS°!$P$9:$P$11</xm:f>
          </x14:formula1>
          <xm:sqref>A165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9</vt:i4>
      </vt:variant>
    </vt:vector>
  </HeadingPairs>
  <TitlesOfParts>
    <vt:vector size="15" baseType="lpstr">
      <vt:lpstr>DATOS°</vt:lpstr>
      <vt:lpstr>RT03-F11° </vt:lpstr>
      <vt:lpstr>CALIBRACION DESPUES DE AJUSTE°</vt:lpstr>
      <vt:lpstr>VERIFICACIÓN DE LA ESCALA°</vt:lpstr>
      <vt:lpstr>RT03-F14°</vt:lpstr>
      <vt:lpstr>RT03-F38. </vt:lpstr>
      <vt:lpstr>'CALIBRACION DESPUES DE AJUSTE°'!Área_de_impresión</vt:lpstr>
      <vt:lpstr>'RT03-F11° '!Área_de_impresión</vt:lpstr>
      <vt:lpstr>'RT03-F14°'!Área_de_impresión</vt:lpstr>
      <vt:lpstr>'RT03-F38. '!Área_de_impresión</vt:lpstr>
      <vt:lpstr>'VERIFICACIÓN DE LA ESCALA°'!Área_de_impresión</vt:lpstr>
      <vt:lpstr>'RT03-F14°'!Print_Area</vt:lpstr>
      <vt:lpstr>'RT03-F38. '!Print_Area</vt:lpstr>
      <vt:lpstr>'VERIFICACIÓN DE LA ESCALA°'!Print_Area</vt:lpstr>
      <vt:lpstr>'VERIFICACIÓN DE LA ESCALA°'!Print_Titles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Jose Vargas</dc:creator>
  <cp:lastModifiedBy>yenni hernandez gomez</cp:lastModifiedBy>
  <cp:lastPrinted>2019-11-08T10:24:44Z</cp:lastPrinted>
  <dcterms:created xsi:type="dcterms:W3CDTF">2015-11-06T23:47:29Z</dcterms:created>
  <dcterms:modified xsi:type="dcterms:W3CDTF">2019-11-08T10:27:37Z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ies>
</file>